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mc:AlternateContent xmlns:mc="http://schemas.openxmlformats.org/markup-compatibility/2006">
    <mc:Choice Requires="x15">
      <x15ac:absPath xmlns:x15ac="http://schemas.microsoft.com/office/spreadsheetml/2010/11/ac" url="P:\Research\SB - Research\5. Wagering\3. BBT\"/>
    </mc:Choice>
  </mc:AlternateContent>
  <xr:revisionPtr revIDLastSave="0" documentId="13_ncr:1_{21A1CF1F-BA2F-4BA4-B959-AC4D55EDCFA6}" xr6:coauthVersionLast="47" xr6:coauthVersionMax="47" xr10:uidLastSave="{00000000-0000-0000-0000-000000000000}"/>
  <bookViews>
    <workbookView xWindow="28680" yWindow="-120" windowWidth="29040" windowHeight="15720" tabRatio="553" activeTab="12" xr2:uid="{00000000-000D-0000-FFFF-FFFF00000000}"/>
  </bookViews>
  <sheets>
    <sheet name="NAV" sheetId="1" r:id="rId1"/>
    <sheet name="BM" sheetId="2" r:id="rId2"/>
    <sheet name="I" sheetId="3" r:id="rId3"/>
    <sheet name="QTR" sheetId="4" r:id="rId4"/>
    <sheet name="HY" sheetId="5" r:id="rId5"/>
    <sheet name="FY" sheetId="6" r:id="rId6"/>
    <sheet name="II" sheetId="7" r:id="rId7"/>
    <sheet name="QTR FT" sheetId="16" r:id="rId8"/>
    <sheet name="HY FT" sheetId="8" r:id="rId9"/>
    <sheet name="FY FT" sheetId="9" r:id="rId10"/>
    <sheet name="Revision Tables" sheetId="10" r:id="rId11"/>
    <sheet name="III" sheetId="11" r:id="rId12"/>
    <sheet name="Templates" sheetId="17"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1__123Graph_ACHART_1" hidden="1">'[1]Long Term Prices'!$DI$827:$DI$855</definedName>
    <definedName name="__10__123Graph_CCHART_1" localSheetId="1" hidden="1">[2]AnnualData!#REF!</definedName>
    <definedName name="__10__123Graph_CCHART_1" hidden="1">[2]AnnualData!#REF!</definedName>
    <definedName name="__11__123Graph_DCHART_5" localSheetId="1" hidden="1">[2]AnnualData!#REF!</definedName>
    <definedName name="__11__123Graph_DCHART_5" hidden="1">[2]AnnualData!#REF!</definedName>
    <definedName name="__12__123Graph_XCHART_1" hidden="1">'[1]Long Term Prices'!$A$827:$A$855</definedName>
    <definedName name="__123Graph_A" hidden="1">'[1]Long Term Prices'!$U$270:$U$549</definedName>
    <definedName name="__123Graph_AAL" hidden="1">'[1]Long Term Prices'!$P$450:$P$533</definedName>
    <definedName name="__123Graph_ACU" hidden="1">'[1]Long Term Prices'!$O$450:$O$533</definedName>
    <definedName name="__123Graph_AGRAPH1" hidden="1">[3]Fin!$C$14:$F$14</definedName>
    <definedName name="__123Graph_ALME" hidden="1">'[1]Long Term Prices'!$S$438:$S$505</definedName>
    <definedName name="__123Graph_APB" hidden="1">'[1]Long Term Prices'!$R$450:$R$533</definedName>
    <definedName name="__123Graph_AZN" hidden="1">'[1]Long Term Prices'!$Q$450:$Q$533</definedName>
    <definedName name="__123Graph_B" hidden="1">'[1]Long Term Prices'!$BI$270:$BI$548</definedName>
    <definedName name="__123Graph_BGRAPH1" hidden="1">[3]Fin!$C$17:$F$17</definedName>
    <definedName name="__123Graph_CGRAPH1" hidden="1">[3]Fin!$C$16:$F$16</definedName>
    <definedName name="__123Graph_E" hidden="1">#REF!</definedName>
    <definedName name="__123Graph_F" hidden="1">#REF!</definedName>
    <definedName name="__123Graph_XAL" hidden="1">'[1]Long Term Prices'!$A$450:$A$533</definedName>
    <definedName name="__123Graph_XCU" hidden="1">'[1]Long Term Prices'!$A$450:$A$533</definedName>
    <definedName name="__123Graph_XGRAPH1" hidden="1">[3]Fin!$A$7:$A$7</definedName>
    <definedName name="__123Graph_XLME" hidden="1">'[1]Long Term Prices'!$A$438:$A$505</definedName>
    <definedName name="__123Graph_XPB" hidden="1">'[1]Long Term Prices'!$A$450:$A$533</definedName>
    <definedName name="__123Graph_XZN" hidden="1">'[1]Long Term Prices'!$A$450:$A$533</definedName>
    <definedName name="__13__123Graph_XCHART_2" localSheetId="1" hidden="1">'[1]Long Term Prices'!#REF!</definedName>
    <definedName name="__13__123Graph_XCHART_2" hidden="1">'[1]Long Term Prices'!#REF!</definedName>
    <definedName name="__14__123Graph_XCHART_3" localSheetId="1" hidden="1">[2]AnnualData!#REF!</definedName>
    <definedName name="__14__123Graph_XCHART_3" hidden="1">[2]AnnualData!#REF!</definedName>
    <definedName name="__15__123Graph_XCHART_4" localSheetId="1" hidden="1">[2]AnnualData!#REF!</definedName>
    <definedName name="__15__123Graph_XCHART_4" hidden="1">[2]AnnualData!#REF!</definedName>
    <definedName name="__16__123Graph_XCHART_5" localSheetId="1" hidden="1">[2]AnnualData!#REF!</definedName>
    <definedName name="__16__123Graph_XCHART_5" hidden="1">[2]AnnualData!#REF!</definedName>
    <definedName name="__2__123Graph_ACHART_2" hidden="1">'[1]Long Term Prices'!$BZ$486:$BZ$548</definedName>
    <definedName name="__3__123Graph_ACHART_3" localSheetId="1" hidden="1">[2]AnnualData!#REF!</definedName>
    <definedName name="__3__123Graph_ACHART_3" hidden="1">[2]AnnualData!#REF!</definedName>
    <definedName name="__4__123Graph_ACHART_4" localSheetId="1" hidden="1">[2]AnnualData!#REF!</definedName>
    <definedName name="__4__123Graph_ACHART_4" hidden="1">[2]AnnualData!#REF!</definedName>
    <definedName name="__5__123Graph_ACHART_5" localSheetId="1" hidden="1">[2]AnnualData!#REF!</definedName>
    <definedName name="__5__123Graph_ACHART_5" hidden="1">[2]AnnualData!#REF!</definedName>
    <definedName name="__6__123Graph_BCHART_1" localSheetId="1" hidden="1">[2]AnnualData!#REF!</definedName>
    <definedName name="__6__123Graph_BCHART_1" hidden="1">[2]AnnualData!#REF!</definedName>
    <definedName name="__7__123Graph_BCHART_2" localSheetId="1" hidden="1">[2]AnnualData!#REF!</definedName>
    <definedName name="__7__123Graph_BCHART_2" hidden="1">[2]AnnualData!#REF!</definedName>
    <definedName name="__8__123Graph_BCHART_3" hidden="1">[2]AnnualData!#REF!</definedName>
    <definedName name="__9__123Graph_BCHART_4" hidden="1">[2]AnnualData!#REF!</definedName>
    <definedName name="__APW_RESTORE_DATA0__" hidden="1">#REF!,#REF!,#REF!,#REF!,#REF!,#REF!,#REF!</definedName>
    <definedName name="__APW_RESTORE_DATA1__" hidden="1">#REF!,#REF!,#REF!,#REF!,#REF!,#REF!,#REF!</definedName>
    <definedName name="__APW_RESTORE_DATA103__" hidden="1">#REF!,#REF!,#REF!,#REF!,#REF!,#REF!,#REF!,#REF!,#REF!,#REF!,#REF!,#REF!,#REF!,#REF!,#REF!,#REF!</definedName>
    <definedName name="__APW_RESTORE_DATA104__" hidden="1">#REF!,#REF!,#REF!,#REF!,#REF!,#REF!,#REF!,#REF!,#REF!,#REF!,#REF!,#REF!,#REF!,#REF!,#REF!,#REF!</definedName>
    <definedName name="__APW_RESTORE_DATA105__" hidden="1">#REF!,#REF!,#REF!,#REF!,#REF!,#REF!,#REF!,#REF!,#REF!,#REF!,#REF!,#REF!,#REF!,#REF!,#REF!,#REF!</definedName>
    <definedName name="__APW_RESTORE_DATA106__" hidden="1">#REF!,#REF!,#REF!,#REF!,#REF!,#REF!,#REF!,#REF!,#REF!,#REF!,#REF!,#REF!,#REF!,#REF!,#REF!,#REF!</definedName>
    <definedName name="__APW_RESTORE_DATA107__" hidden="1">#REF!,#REF!,#REF!,#REF!,#REF!,#REF!</definedName>
    <definedName name="__APW_RESTORE_DATA108__" hidden="1">#REF!,#REF!,#REF!,#REF!,#REF!,#REF!,#REF!,#REF!,#REF!,#REF!,#REF!,#REF!,#REF!,#REF!,#REF!,#REF!</definedName>
    <definedName name="__APW_RESTORE_DATA109__" hidden="1">#REF!,#REF!,#REF!,#REF!,#REF!,#REF!,#REF!,#REF!,#REF!,#REF!,#REF!,#REF!,#REF!,#REF!,#REF!,#REF!</definedName>
    <definedName name="__APW_RESTORE_DATA110__" hidden="1">#REF!,#REF!,#REF!,#REF!,#REF!,#REF!,#REF!,#REF!,#REF!,#REF!,#REF!,#REF!,#REF!,#REF!,#REF!,#REF!</definedName>
    <definedName name="__APW_RESTORE_DATA111__" hidden="1">#REF!,#REF!,#REF!,#REF!,#REF!,#REF!,#REF!,#REF!,#REF!,#REF!,#REF!,#REF!,#REF!,#REF!,#REF!,#REF!</definedName>
    <definedName name="__APW_RESTORE_DATA112__" hidden="1">#REF!,#REF!,#REF!,#REF!,#REF!,#REF!</definedName>
    <definedName name="__APW_RESTORE_DATA113__" hidden="1">#REF!,#REF!,#REF!,#REF!,#REF!,#REF!,#REF!,#REF!,#REF!,#REF!,#REF!,#REF!,#REF!,#REF!,#REF!</definedName>
    <definedName name="__APW_RESTORE_DATA114__" hidden="1">#REF!,#REF!,#REF!,#REF!,#REF!,#REF!,#REF!,#REF!,#REF!,#REF!,#REF!,#REF!,#REF!,#REF!,#REF!</definedName>
    <definedName name="__APW_RESTORE_DATA115__" hidden="1">#REF!,#REF!,#REF!,#REF!,#REF!,#REF!,#REF!,#REF!,#REF!,#REF!,#REF!,#REF!,#REF!,#REF!,#REF!</definedName>
    <definedName name="__APW_RESTORE_DATA116__" hidden="1">#REF!,#REF!,#REF!,#REF!,#REF!,#REF!,#REF!,#REF!,#REF!,#REF!,#REF!,#REF!,#REF!,#REF!,#REF!</definedName>
    <definedName name="__APW_RESTORE_DATA117__" hidden="1">#REF!,#REF!,#REF!,#REF!,#REF!,#REF!,#REF!,#REF!,#REF!,#REF!</definedName>
    <definedName name="__APW_RESTORE_DATA17__" hidden="1">#REF!,#REF!,#REF!,#REF!,#REF!,#REF!,#REF!,#REF!,#REF!,#REF!,#REF!,#REF!,#REF!,#REF!,#REF!,#REF!</definedName>
    <definedName name="__APW_RESTORE_DATA18__" hidden="1">#REF!,#REF!,#REF!,#REF!,#REF!,#REF!,#REF!,#REF!,#REF!,#REF!,#REF!,#REF!,#REF!,#REF!,#REF!,#REF!</definedName>
    <definedName name="__APW_RESTORE_DATA19__" hidden="1">#REF!,#REF!,#REF!,#REF!,#REF!,#REF!,#REF!,#REF!,#REF!,#REF!,#REF!,#REF!,#REF!,#REF!,#REF!,#REF!</definedName>
    <definedName name="__APW_RESTORE_DATA191__" hidden="1">#REF!,#REF!,#REF!,#REF!,#REF!,#REF!,#REF!,#REF!,#REF!,#REF!,#REF!,#REF!,#REF!,#REF!,#REF!,#REF!</definedName>
    <definedName name="__APW_RESTORE_DATA192__" hidden="1">#REF!,#REF!,#REF!,#REF!,#REF!,#REF!,#REF!,#REF!,#REF!,#REF!,#REF!,#REF!,#REF!,#REF!,#REF!,#REF!</definedName>
    <definedName name="__APW_RESTORE_DATA193__" hidden="1">#REF!,#REF!,#REF!,#REF!,#REF!,#REF!,#REF!,#REF!,#REF!,#REF!,#REF!,#REF!,#REF!,#REF!,#REF!,#REF!</definedName>
    <definedName name="__APW_RESTORE_DATA194__" hidden="1">#REF!,#REF!,#REF!,#REF!,#REF!,#REF!,#REF!,#REF!,#REF!,#REF!,#REF!,#REF!,#REF!,#REF!,#REF!,#REF!</definedName>
    <definedName name="__APW_RESTORE_DATA195__" hidden="1">#REF!,#REF!,#REF!,#REF!,#REF!,#REF!,#REF!,#REF!,#REF!,#REF!,#REF!,#REF!,#REF!,#REF!,#REF!,#REF!</definedName>
    <definedName name="__APW_RESTORE_DATA196__" hidden="1">#REF!,#REF!,#REF!,#REF!,#REF!,#REF!,#REF!,#REF!,#REF!,#REF!,#REF!,#REF!,#REF!,#REF!,#REF!,#REF!</definedName>
    <definedName name="__APW_RESTORE_DATA197__" hidden="1">#REF!,#REF!,#REF!,#REF!,#REF!,#REF!,#REF!,#REF!,#REF!,#REF!,#REF!,#REF!,#REF!,#REF!,#REF!,#REF!</definedName>
    <definedName name="__APW_RESTORE_DATA198__" hidden="1">#REF!,#REF!,#REF!,#REF!,#REF!,#REF!,#REF!,#REF!,#REF!,#REF!,#REF!,#REF!,#REF!,#REF!,#REF!,#REF!</definedName>
    <definedName name="__APW_RESTORE_DATA199__" hidden="1">#REF!,#REF!,#REF!,#REF!,#REF!,#REF!,#REF!,#REF!,#REF!,#REF!,#REF!,#REF!,#REF!,#REF!,#REF!,#REF!</definedName>
    <definedName name="__APW_RESTORE_DATA2__" hidden="1">#REF!,#REF!,#REF!,#REF!,#REF!,#REF!,#REF!,#REF!,#REF!,#REF!,#REF!,#REF!,#REF!,#REF!,#REF!,#REF!,#REF!</definedName>
    <definedName name="__APW_RESTORE_DATA20__" hidden="1">#REF!,#REF!,#REF!,#REF!,#REF!,#REF!,#REF!,#REF!,#REF!,#REF!,#REF!,#REF!,#REF!,#REF!,#REF!,#REF!</definedName>
    <definedName name="__APW_RESTORE_DATA200__" hidden="1">#REF!,#REF!,#REF!,#REF!,#REF!,#REF!,#REF!,#REF!,#REF!,#REF!,#REF!,#REF!,#REF!,#REF!,#REF!,#REF!</definedName>
    <definedName name="__APW_RESTORE_DATA201__" hidden="1">#REF!,#REF!,#REF!,#REF!,#REF!,#REF!,#REF!,#REF!,#REF!,#REF!,#REF!,#REF!,#REF!,#REF!,#REF!,#REF!</definedName>
    <definedName name="__APW_RESTORE_DATA202__" hidden="1">#REF!,#REF!,#REF!,#REF!,#REF!,#REF!,#REF!,#REF!,#REF!,#REF!,#REF!,#REF!,#REF!,#REF!,#REF!,#REF!</definedName>
    <definedName name="__APW_RESTORE_DATA203__" hidden="1">#REF!,#REF!,#REF!,#REF!,#REF!,#REF!,#REF!,#REF!,#REF!,#REF!,#REF!,#REF!,#REF!,#REF!,#REF!,#REF!</definedName>
    <definedName name="__APW_RESTORE_DATA204__" hidden="1">#REF!,#REF!,#REF!,#REF!,#REF!,#REF!,#REF!,#REF!,#REF!,#REF!,#REF!,#REF!</definedName>
    <definedName name="__APW_RESTORE_DATA205__" hidden="1">#REF!,#REF!,#REF!,#REF!,#REF!,#REF!,#REF!,#REF!,#REF!,#REF!,#REF!,#REF!,#REF!,#REF!,#REF!,#REF!</definedName>
    <definedName name="__APW_RESTORE_DATA206__" hidden="1">#REF!,#REF!,#REF!,#REF!,#REF!,#REF!,#REF!,#REF!,#REF!,#REF!,#REF!,#REF!,#REF!,#REF!,#REF!,#REF!</definedName>
    <definedName name="__APW_RESTORE_DATA207__" hidden="1">#REF!,#REF!,#REF!,#REF!,#REF!,#REF!,#REF!,#REF!,#REF!,#REF!,#REF!,#REF!,#REF!,#REF!,#REF!,#REF!</definedName>
    <definedName name="__APW_RESTORE_DATA208__" hidden="1">#REF!,#REF!,#REF!,#REF!,#REF!,#REF!,#REF!,#REF!,#REF!,#REF!,#REF!,#REF!,#REF!,#REF!,#REF!,#REF!</definedName>
    <definedName name="__APW_RESTORE_DATA209__" hidden="1">#REF!,#REF!,#REF!,#REF!,#REF!,#REF!,#REF!,#REF!,#REF!,#REF!,#REF!,#REF!,#REF!,#REF!,#REF!,#REF!</definedName>
    <definedName name="__APW_RESTORE_DATA21__" hidden="1">#REF!,#REF!,#REF!,#REF!,#REF!,#REF!</definedName>
    <definedName name="__APW_RESTORE_DATA210__" hidden="1">#REF!,#REF!,#REF!,#REF!,#REF!,#REF!,#REF!,#REF!,#REF!,#REF!,#REF!,#REF!</definedName>
    <definedName name="__APW_RESTORE_DATA22__" hidden="1">#REF!,#REF!,#REF!,#REF!,#REF!,#REF!,#REF!,#REF!,#REF!,#REF!,#REF!,#REF!,#REF!,#REF!,#REF!,#REF!</definedName>
    <definedName name="__APW_RESTORE_DATA23__" hidden="1">#REF!,#REF!,#REF!,#REF!,#REF!,#REF!,#REF!,#REF!,#REF!,#REF!,#REF!,#REF!,#REF!,#REF!,#REF!,#REF!</definedName>
    <definedName name="__APW_RESTORE_DATA24__" hidden="1">#REF!,#REF!,#REF!,#REF!,#REF!,#REF!,#REF!,#REF!,#REF!,#REF!,#REF!,#REF!,#REF!,#REF!,#REF!,#REF!</definedName>
    <definedName name="__APW_RESTORE_DATA25__" hidden="1">#REF!,#REF!,#REF!,#REF!,#REF!,#REF!,#REF!,#REF!,#REF!,#REF!,#REF!,#REF!,#REF!,#REF!,#REF!,#REF!</definedName>
    <definedName name="__APW_RESTORE_DATA26__" hidden="1">#REF!,#REF!,#REF!,#REF!,#REF!,#REF!</definedName>
    <definedName name="__APW_RESTORE_DATA27__" hidden="1">#REF!,#REF!,#REF!,#REF!,#REF!,#REF!,#REF!,#REF!,#REF!,#REF!,#REF!,#REF!,#REF!,#REF!,#REF!,#REF!</definedName>
    <definedName name="__APW_RESTORE_DATA28__" hidden="1">#REF!,#REF!,#REF!,#REF!,#REF!,#REF!,#REF!,#REF!,#REF!,#REF!,#REF!,#REF!,#REF!,#REF!,#REF!,#REF!</definedName>
    <definedName name="__APW_RESTORE_DATA29__" hidden="1">#REF!,#REF!,#REF!,#REF!,#REF!,#REF!,#REF!,#REF!,#REF!,#REF!,#REF!,#REF!,#REF!,#REF!,#REF!,#REF!</definedName>
    <definedName name="__APW_RESTORE_DATA3__" hidden="1">#REF!,#REF!,#REF!,#REF!,#REF!,#REF!,#REF!,#REF!,#REF!,#REF!,#REF!,#REF!,#REF!,#REF!,#REF!,#REF!,#REF!</definedName>
    <definedName name="__APW_RESTORE_DATA30__" hidden="1">#REF!,#REF!,#REF!,#REF!,#REF!,#REF!,#REF!,#REF!,#REF!,#REF!,#REF!,#REF!,#REF!,#REF!,#REF!,#REF!</definedName>
    <definedName name="__APW_RESTORE_DATA31__" hidden="1">#REF!,#REF!,#REF!,#REF!,#REF!,#REF!</definedName>
    <definedName name="__APW_RESTORE_DATA32__" hidden="1">#REF!,#REF!,#REF!,#REF!,#REF!,#REF!,#REF!,#REF!,#REF!,#REF!,#REF!,#REF!,#REF!,#REF!,#REF!,#REF!</definedName>
    <definedName name="__APW_RESTORE_DATA33__" hidden="1">#REF!,#REF!,#REF!,#REF!,#REF!,#REF!,#REF!,#REF!,#REF!,#REF!,#REF!,#REF!,#REF!,#REF!,#REF!,#REF!</definedName>
    <definedName name="__APW_RESTORE_DATA34__" hidden="1">#REF!,#REF!,#REF!,#REF!,#REF!,#REF!,#REF!,#REF!,#REF!,#REF!,#REF!,#REF!,#REF!,#REF!,#REF!,#REF!</definedName>
    <definedName name="__APW_RESTORE_DATA35__" hidden="1">#REF!,#REF!,#REF!,#REF!,#REF!,#REF!,#REF!,#REF!,#REF!,#REF!,#REF!,#REF!,#REF!,#REF!,#REF!,#REF!</definedName>
    <definedName name="__APW_RESTORE_DATA36__" hidden="1">#REF!,#REF!,#REF!,#REF!,#REF!,#REF!</definedName>
    <definedName name="__APW_RESTORE_DATA37__" hidden="1">#REF!,#REF!,#REF!,#REF!,#REF!,#REF!,#REF!,#REF!,#REF!,#REF!,#REF!,#REF!,#REF!,#REF!,#REF!</definedName>
    <definedName name="__APW_RESTORE_DATA38__" hidden="1">#REF!,#REF!,#REF!,#REF!,#REF!,#REF!,#REF!,#REF!,#REF!,#REF!,#REF!,#REF!,#REF!,#REF!,#REF!</definedName>
    <definedName name="__APW_RESTORE_DATA39__" hidden="1">#REF!,#REF!,#REF!,#REF!,#REF!,#REF!,#REF!,#REF!,#REF!,#REF!,#REF!,#REF!,#REF!,#REF!,#REF!</definedName>
    <definedName name="__APW_RESTORE_DATA4__" hidden="1">#REF!,#REF!,#REF!,#REF!,#REF!,#REF!,#REF!,#REF!,#REF!,#REF!,#REF!,#REF!,#REF!,#REF!,#REF!,#REF!,#REF!</definedName>
    <definedName name="__APW_RESTORE_DATA40__" hidden="1">#REF!,#REF!,#REF!,#REF!,#REF!,#REF!,#REF!,#REF!,#REF!,#REF!,#REF!,#REF!,#REF!,#REF!,#REF!</definedName>
    <definedName name="__APW_RESTORE_DATA41__" hidden="1">#REF!,#REF!,#REF!,#REF!,#REF!,#REF!,#REF!,#REF!,#REF!,#REF!</definedName>
    <definedName name="__APW_RESTORE_DATA42__" hidden="1">#REF!,#REF!,#REF!,#REF!,#REF!,#REF!,#REF!,#REF!,#REF!,#REF!,#REF!,#REF!,#REF!,#REF!,#REF!</definedName>
    <definedName name="__APW_RESTORE_DATA43__" hidden="1">#REF!,#REF!,#REF!,#REF!,#REF!,#REF!,#REF!,#REF!,#REF!,#REF!,#REF!,#REF!,#REF!,#REF!,#REF!</definedName>
    <definedName name="__APW_RESTORE_DATA44__" hidden="1">#REF!,#REF!,#REF!,#REF!,#REF!,#REF!,#REF!,#REF!,#REF!,#REF!,#REF!,#REF!,#REF!,#REF!,#REF!</definedName>
    <definedName name="__APW_RESTORE_DATA45__" hidden="1">#REF!,#REF!,#REF!,#REF!,#REF!,#REF!,#REF!,#REF!,#REF!,#REF!,#REF!,#REF!,#REF!,#REF!,#REF!</definedName>
    <definedName name="__APW_RESTORE_DATA46__" hidden="1">#REF!,#REF!,#REF!,#REF!,#REF!,#REF!,#REF!,#REF!,#REF!,#REF!</definedName>
    <definedName name="__APW_RESTORE_DATA47__" hidden="1">#REF!,#REF!,#REF!,#REF!,#REF!,#REF!,#REF!,#REF!,#REF!,#REF!,#REF!,#REF!,#REF!,#REF!,#REF!</definedName>
    <definedName name="__APW_RESTORE_DATA48__" hidden="1">#REF!,#REF!,#REF!,#REF!,#REF!,#REF!,#REF!,#REF!,#REF!,#REF!,#REF!,#REF!,#REF!,#REF!,#REF!</definedName>
    <definedName name="__APW_RESTORE_DATA482__" hidden="1">#REF!,#REF!,#REF!,#REF!,#REF!,#REF!,#REF!,#REF!,#REF!,#REF!,#REF!,#REF!,#REF!,#REF!,#REF!,#REF!</definedName>
    <definedName name="__APW_RESTORE_DATA483__" hidden="1">#REF!,#REF!,#REF!,#REF!,#REF!,#REF!,#REF!,#REF!,#REF!,#REF!,#REF!,#REF!,#REF!,#REF!,#REF!,#REF!</definedName>
    <definedName name="__APW_RESTORE_DATA484__" hidden="1">#REF!,#REF!,#REF!,#REF!,#REF!,#REF!,#REF!</definedName>
    <definedName name="__APW_RESTORE_DATA487__" hidden="1">#REF!,#REF!,#REF!,#REF!,#REF!,#REF!,#REF!,#REF!,#REF!,#REF!,#REF!,#REF!,#REF!,#REF!,#REF!,#REF!</definedName>
    <definedName name="__APW_RESTORE_DATA488__" hidden="1">#REF!,#REF!,#REF!,#REF!,#REF!,#REF!,#REF!,#REF!,#REF!,#REF!,#REF!,#REF!,#REF!,#REF!,#REF!,#REF!</definedName>
    <definedName name="__APW_RESTORE_DATA489__" hidden="1">#REF!,#REF!,#REF!,#REF!,#REF!,#REF!</definedName>
    <definedName name="__APW_RESTORE_DATA49__" hidden="1">#REF!,#REF!,#REF!,#REF!,#REF!,#REF!,#REF!,#REF!,#REF!,#REF!,#REF!,#REF!,#REF!,#REF!,#REF!</definedName>
    <definedName name="__APW_RESTORE_DATA492__" hidden="1">#REF!,#REF!,#REF!,#REF!,#REF!,#REF!,#REF!,#REF!,#REF!,#REF!,#REF!,#REF!,#REF!,#REF!,#REF!,#REF!</definedName>
    <definedName name="__APW_RESTORE_DATA493__" hidden="1">#REF!,#REF!,#REF!,#REF!,#REF!,#REF!,#REF!,#REF!,#REF!,#REF!,#REF!,#REF!,#REF!,#REF!,#REF!,#REF!</definedName>
    <definedName name="__APW_RESTORE_DATA494__" hidden="1">#REF!,#REF!,#REF!,#REF!,#REF!,#REF!</definedName>
    <definedName name="__APW_RESTORE_DATA497__" hidden="1">#REF!,#REF!,#REF!,#REF!,#REF!,#REF!,#REF!,#REF!,#REF!,#REF!,#REF!,#REF!,#REF!,#REF!,#REF!,#REF!</definedName>
    <definedName name="__APW_RESTORE_DATA498__" hidden="1">#REF!,#REF!,#REF!,#REF!,#REF!,#REF!,#REF!,#REF!,#REF!,#REF!,#REF!,#REF!,#REF!,#REF!,#REF!,#REF!</definedName>
    <definedName name="__APW_RESTORE_DATA499__" hidden="1">#REF!,#REF!,#REF!,#REF!,#REF!,#REF!,#REF!</definedName>
    <definedName name="__APW_RESTORE_DATA5__" hidden="1">#REF!,#REF!,#REF!,#REF!,#REF!,#REF!,#REF!,#REF!,#REF!,#REF!,#REF!,#REF!,#REF!,#REF!,#REF!,#REF!,#REF!</definedName>
    <definedName name="__APW_RESTORE_DATA50__" hidden="1">#REF!,#REF!,#REF!,#REF!,#REF!,#REF!,#REF!,#REF!,#REF!,#REF!,#REF!,#REF!,#REF!,#REF!,#REF!</definedName>
    <definedName name="__APW_RESTORE_DATA502__" hidden="1">#REF!,#REF!,#REF!,#REF!,#REF!,#REF!,#REF!,#REF!,#REF!,#REF!,#REF!,#REF!,#REF!,#REF!,#REF!,#REF!</definedName>
    <definedName name="__APW_RESTORE_DATA503__" hidden="1">#REF!,#REF!,#REF!,#REF!,#REF!,#REF!,#REF!,#REF!,#REF!,#REF!,#REF!,#REF!,#REF!,#REF!,#REF!,#REF!</definedName>
    <definedName name="__APW_RESTORE_DATA504__" hidden="1">#REF!,#REF!,#REF!,#REF!,#REF!,#REF!,#REF!</definedName>
    <definedName name="__APW_RESTORE_DATA507__" hidden="1">#REF!,#REF!,#REF!,#REF!,#REF!,#REF!,#REF!,#REF!,#REF!,#REF!,#REF!,#REF!,#REF!,#REF!,#REF!,#REF!</definedName>
    <definedName name="__APW_RESTORE_DATA508__" hidden="1">#REF!,#REF!,#REF!,#REF!,#REF!,#REF!,#REF!,#REF!,#REF!,#REF!,#REF!,#REF!,#REF!,#REF!,#REF!,#REF!</definedName>
    <definedName name="__APW_RESTORE_DATA509__" hidden="1">#REF!,#REF!,#REF!,#REF!,#REF!,#REF!,#REF!</definedName>
    <definedName name="__APW_RESTORE_DATA51__" hidden="1">#REF!,#REF!,#REF!,#REF!,#REF!,#REF!,#REF!,#REF!,#REF!,#REF!</definedName>
    <definedName name="__APW_RESTORE_DATA512__" hidden="1">#REF!,#REF!,#REF!,#REF!,#REF!,#REF!,#REF!,#REF!,#REF!,#REF!,#REF!,#REF!,#REF!,#REF!,#REF!,#REF!</definedName>
    <definedName name="__APW_RESTORE_DATA513__" hidden="1">#REF!,#REF!,#REF!,#REF!,#REF!,#REF!,#REF!,#REF!,#REF!,#REF!,#REF!,#REF!,#REF!,#REF!,#REF!,#REF!</definedName>
    <definedName name="__APW_RESTORE_DATA514__" hidden="1">#REF!,#REF!,#REF!,#REF!,#REF!,#REF!,#REF!</definedName>
    <definedName name="__APW_RESTORE_DATA517__" hidden="1">#REF!,#REF!,#REF!,#REF!,#REF!,#REF!,#REF!,#REF!,#REF!,#REF!,#REF!,#REF!,#REF!,#REF!,#REF!,#REF!</definedName>
    <definedName name="__APW_RESTORE_DATA518__" hidden="1">#REF!,#REF!,#REF!,#REF!,#REF!,#REF!,#REF!,#REF!,#REF!,#REF!,#REF!,#REF!,#REF!,#REF!,#REF!,#REF!</definedName>
    <definedName name="__APW_RESTORE_DATA519__" hidden="1">#REF!,#REF!,#REF!,#REF!,#REF!,#REF!,#REF!</definedName>
    <definedName name="__APW_RESTORE_DATA522__" hidden="1">#REF!,#REF!,#REF!,#REF!,#REF!,#REF!,#REF!,#REF!,#REF!,#REF!,#REF!,#REF!,#REF!,#REF!,#REF!,#REF!</definedName>
    <definedName name="__APW_RESTORE_DATA523__" hidden="1">#REF!,#REF!,#REF!,#REF!,#REF!,#REF!,#REF!,#REF!,#REF!,#REF!,#REF!,#REF!,#REF!,#REF!,#REF!,#REF!</definedName>
    <definedName name="__APW_RESTORE_DATA524__" hidden="1">#REF!,#REF!,#REF!,#REF!,#REF!,#REF!,#REF!</definedName>
    <definedName name="__APW_RESTORE_DATA527__" hidden="1">#REF!,#REF!,#REF!,#REF!,#REF!,#REF!,#REF!,#REF!,#REF!,#REF!,#REF!,#REF!,#REF!,#REF!,#REF!,#REF!</definedName>
    <definedName name="__APW_RESTORE_DATA528__" hidden="1">#REF!,#REF!,#REF!,#REF!,#REF!,#REF!,#REF!,#REF!,#REF!,#REF!,#REF!,#REF!,#REF!,#REF!,#REF!,#REF!</definedName>
    <definedName name="__APW_RESTORE_DATA529__" hidden="1">#REF!,#REF!,#REF!,#REF!,#REF!,#REF!,#REF!</definedName>
    <definedName name="__APW_RESTORE_DATA532__" hidden="1">#REF!,#REF!,#REF!,#REF!,#REF!,#REF!,#REF!,#REF!,#REF!,#REF!,#REF!,#REF!,#REF!,#REF!,#REF!,#REF!</definedName>
    <definedName name="__APW_RESTORE_DATA533__" hidden="1">#REF!,#REF!,#REF!,#REF!,#REF!,#REF!,#REF!,#REF!,#REF!,#REF!,#REF!,#REF!,#REF!,#REF!,#REF!,#REF!</definedName>
    <definedName name="__APW_RESTORE_DATA534__" hidden="1">#REF!,#REF!,#REF!,#REF!,#REF!,#REF!,#REF!</definedName>
    <definedName name="__APW_RESTORE_DATA57__" hidden="1">#REF!,#REF!,#REF!,#REF!,#REF!,#REF!,#REF!,#REF!,#REF!,#REF!,#REF!,#REF!,#REF!,#REF!,#REF!,#REF!</definedName>
    <definedName name="__APW_RESTORE_DATA58__" hidden="1">#REF!,#REF!,#REF!,#REF!,#REF!,#REF!,#REF!,#REF!,#REF!,#REF!,#REF!,#REF!,#REF!,#REF!,#REF!,#REF!</definedName>
    <definedName name="__APW_RESTORE_DATA59__" hidden="1">#REF!,#REF!,#REF!,#REF!,#REF!,#REF!,#REF!,#REF!,#REF!,#REF!,#REF!,#REF!,#REF!,#REF!,#REF!,#REF!</definedName>
    <definedName name="__APW_RESTORE_DATA6__" hidden="1">#REF!,#REF!</definedName>
    <definedName name="__APW_RESTORE_DATA60__" hidden="1">#REF!,#REF!,#REF!,#REF!,#REF!,#REF!,#REF!,#REF!,#REF!,#REF!,#REF!,#REF!,#REF!,#REF!,#REF!,#REF!</definedName>
    <definedName name="__APW_RESTORE_DATA61__" hidden="1">#REF!,#REF!,#REF!,#REF!,#REF!,#REF!</definedName>
    <definedName name="__FDS_HYPERLINK_TOGGLE_STATE__" hidden="1">"ON"</definedName>
    <definedName name="__FDS_UNIQUE_RANGE_ID_GENERATOR_COUNTER" hidden="1">1</definedName>
    <definedName name="__FDS_USED_FOR_REUSING_RANGE_IDS_RECYCLE" hidden="1">{573,574,575,576,577}</definedName>
    <definedName name="_1__123Graph_ACHART_1" hidden="1">'[1]Long Term Prices'!$DI$827:$DI$855</definedName>
    <definedName name="_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__123Graph_CCHART_1" localSheetId="1" hidden="1">[2]AnnualData!#REF!</definedName>
    <definedName name="_10__123Graph_CCHART_1" hidden="1">[2]AnnualData!#REF!</definedName>
    <definedName name="_1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definedName>
    <definedName name="_10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definedName>
    <definedName name="_10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definedName>
    <definedName name="_10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definedName>
    <definedName name="_10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definedName>
    <definedName name="_10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definedName>
    <definedName name="_10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definedName>
    <definedName name="_10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definedName>
    <definedName name="_10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definedName>
    <definedName name="_10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definedName>
    <definedName name="_10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definedName>
    <definedName name="_10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definedName>
    <definedName name="_10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definedName>
    <definedName name="_10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definedName>
    <definedName name="_10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0"}</definedName>
    <definedName name="_10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170"}</definedName>
    <definedName name="_10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169"}</definedName>
    <definedName name="_10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168"}</definedName>
    <definedName name="_10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167"}</definedName>
    <definedName name="_10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166"}</definedName>
    <definedName name="_10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165"}</definedName>
    <definedName name="_10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164"}</definedName>
    <definedName name="_10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163"}</definedName>
    <definedName name="_10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162"}</definedName>
    <definedName name="_10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161"}</definedName>
    <definedName name="_10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160"}</definedName>
    <definedName name="_10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159"}</definedName>
    <definedName name="_10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158"}</definedName>
    <definedName name="_10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157"}</definedName>
    <definedName name="_10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156"}</definedName>
    <definedName name="_10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155"}</definedName>
    <definedName name="_10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154"}</definedName>
    <definedName name="_10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153"}</definedName>
    <definedName name="_10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152"}</definedName>
    <definedName name="_10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151"}</definedName>
    <definedName name="_10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150"}</definedName>
    <definedName name="_10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149"}</definedName>
    <definedName name="_10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148"}</definedName>
    <definedName name="_10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147"}</definedName>
    <definedName name="_10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146"}</definedName>
    <definedName name="_10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145"}</definedName>
    <definedName name="_10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144"}</definedName>
    <definedName name="_10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143"}</definedName>
    <definedName name="_10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142"}</definedName>
    <definedName name="_10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141"}</definedName>
    <definedName name="_10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140"}</definedName>
    <definedName name="_10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139"}</definedName>
    <definedName name="_10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138"}</definedName>
    <definedName name="_10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137"}</definedName>
    <definedName name="_10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136"}</definedName>
    <definedName name="_10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135"}</definedName>
    <definedName name="_10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134"}</definedName>
    <definedName name="_10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133"}</definedName>
    <definedName name="_10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132"}</definedName>
    <definedName name="_10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131"}</definedName>
    <definedName name="_10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130"}</definedName>
    <definedName name="_10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129"}</definedName>
    <definedName name="_10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128"}</definedName>
    <definedName name="_10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127"}</definedName>
    <definedName name="_10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126"}</definedName>
    <definedName name="_10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125"}</definedName>
    <definedName name="_10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124"}</definedName>
    <definedName name="_10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123"}</definedName>
    <definedName name="_10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122"}</definedName>
    <definedName name="_10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121"}</definedName>
    <definedName name="_10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120"}</definedName>
    <definedName name="_10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119"}</definedName>
    <definedName name="_10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118"}</definedName>
    <definedName name="_10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117"}</definedName>
    <definedName name="_10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116"}</definedName>
    <definedName name="_10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115"}</definedName>
    <definedName name="_10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114"}</definedName>
    <definedName name="_10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113"}</definedName>
    <definedName name="_10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112"}</definedName>
    <definedName name="_10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111"}</definedName>
    <definedName name="_10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110"}</definedName>
    <definedName name="_10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109"}</definedName>
    <definedName name="_10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108"}</definedName>
    <definedName name="_10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107"}</definedName>
    <definedName name="_10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106"}</definedName>
    <definedName name="_10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105"}</definedName>
    <definedName name="_10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104"}</definedName>
    <definedName name="_10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103"}</definedName>
    <definedName name="_10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102"}</definedName>
    <definedName name="_10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101"}</definedName>
    <definedName name="_10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100"}</definedName>
    <definedName name="_10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99"}</definedName>
    <definedName name="_10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98"}</definedName>
    <definedName name="_10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97"}</definedName>
    <definedName name="_11__123Graph_DCHART_5" localSheetId="1" hidden="1">[2]AnnualData!#REF!</definedName>
    <definedName name="_11__123Graph_DCHART_5" hidden="1">[2]AnnualData!#REF!</definedName>
    <definedName name="_1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96"}</definedName>
    <definedName name="_11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95"}</definedName>
    <definedName name="_11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94"}</definedName>
    <definedName name="_11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93"}</definedName>
    <definedName name="_11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92"}</definedName>
    <definedName name="_11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91"}</definedName>
    <definedName name="_11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90"}</definedName>
    <definedName name="_11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89"}</definedName>
    <definedName name="_11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88"}</definedName>
    <definedName name="_11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87"}</definedName>
    <definedName name="_11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86"}</definedName>
    <definedName name="_11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85"}</definedName>
    <definedName name="_11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84"}</definedName>
    <definedName name="_11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83"}</definedName>
    <definedName name="_11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82"}</definedName>
    <definedName name="_11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81"}</definedName>
    <definedName name="_11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80"}</definedName>
    <definedName name="_11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79"}</definedName>
    <definedName name="_11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78"}</definedName>
    <definedName name="_11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77"}</definedName>
    <definedName name="_11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76"}</definedName>
    <definedName name="_11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75"}</definedName>
    <definedName name="_11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74"}</definedName>
    <definedName name="_11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73"}</definedName>
    <definedName name="_11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72"}</definedName>
    <definedName name="_11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71"}</definedName>
    <definedName name="_11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70"}</definedName>
    <definedName name="_11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69"}</definedName>
    <definedName name="_11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68"}</definedName>
    <definedName name="_11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67"}</definedName>
    <definedName name="_11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66"}</definedName>
    <definedName name="_11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65"}</definedName>
    <definedName name="_11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64"}</definedName>
    <definedName name="_11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63"}</definedName>
    <definedName name="_11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62"}</definedName>
    <definedName name="_11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61"}</definedName>
    <definedName name="_11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60"}</definedName>
    <definedName name="_11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59"}</definedName>
    <definedName name="_11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58"}</definedName>
    <definedName name="_11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57"}</definedName>
    <definedName name="_11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56"}</definedName>
    <definedName name="_11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55"}</definedName>
    <definedName name="_11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54"}</definedName>
    <definedName name="_11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53"}</definedName>
    <definedName name="_11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52"}</definedName>
    <definedName name="_11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51"}</definedName>
    <definedName name="_11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50"}</definedName>
    <definedName name="_11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49"}</definedName>
    <definedName name="_11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48"}</definedName>
    <definedName name="_11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47"}</definedName>
    <definedName name="_11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46"}</definedName>
    <definedName name="_11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45"}</definedName>
    <definedName name="_11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44"}</definedName>
    <definedName name="_11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43"}</definedName>
    <definedName name="_11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42"}</definedName>
    <definedName name="_11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41"}</definedName>
    <definedName name="_11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40"}</definedName>
    <definedName name="_11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39"}</definedName>
    <definedName name="_11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38"}</definedName>
    <definedName name="_11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37"}</definedName>
    <definedName name="_11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36"}</definedName>
    <definedName name="_11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35"}</definedName>
    <definedName name="_11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34"}</definedName>
    <definedName name="_11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33"}</definedName>
    <definedName name="_11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32"}</definedName>
    <definedName name="_11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31"}</definedName>
    <definedName name="_11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30"}</definedName>
    <definedName name="_11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29"}</definedName>
    <definedName name="_11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28"}</definedName>
    <definedName name="_11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27"}</definedName>
    <definedName name="_11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26"}</definedName>
    <definedName name="_11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25"}</definedName>
    <definedName name="_11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24"}</definedName>
    <definedName name="_11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23"}</definedName>
    <definedName name="_11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22"}</definedName>
    <definedName name="_11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21"}</definedName>
    <definedName name="_11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20"}</definedName>
    <definedName name="_11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19"}</definedName>
    <definedName name="_11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18"}</definedName>
    <definedName name="_11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definedName>
    <definedName name="_11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definedName>
    <definedName name="_11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definedName>
    <definedName name="_11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definedName>
    <definedName name="_11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definedName>
    <definedName name="_11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definedName>
    <definedName name="_11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definedName>
    <definedName name="_11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definedName>
    <definedName name="_11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definedName>
    <definedName name="_11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definedName>
    <definedName name="_11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definedName>
    <definedName name="_11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definedName>
    <definedName name="_11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definedName>
    <definedName name="_11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definedName>
    <definedName name="_11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definedName>
    <definedName name="_11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definedName>
    <definedName name="_11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definedName>
    <definedName name="_11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0"}</definedName>
    <definedName name="_11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170"}</definedName>
    <definedName name="_11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169"}</definedName>
    <definedName name="_11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168"}</definedName>
    <definedName name="_12__123Graph_BCHART_21A" hidden="1">#REF!</definedName>
    <definedName name="_12__123Graph_BCHART_8A" hidden="1">[4]SHELL!#REF!</definedName>
    <definedName name="_12__123Graph_XCHART_1" hidden="1">'[1]Long Term Prices'!$A$827:$A$855</definedName>
    <definedName name="_1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167"}</definedName>
    <definedName name="_12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166"}</definedName>
    <definedName name="_12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165"}</definedName>
    <definedName name="_12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164"}</definedName>
    <definedName name="_12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163"}</definedName>
    <definedName name="_12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162"}</definedName>
    <definedName name="_12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161"}</definedName>
    <definedName name="_12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160"}</definedName>
    <definedName name="_12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159"}</definedName>
    <definedName name="_12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158"}</definedName>
    <definedName name="_12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157"}</definedName>
    <definedName name="_12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156"}</definedName>
    <definedName name="_12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155"}</definedName>
    <definedName name="_12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154"}</definedName>
    <definedName name="_12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153"}</definedName>
    <definedName name="_12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152"}</definedName>
    <definedName name="_12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151"}</definedName>
    <definedName name="_12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150"}</definedName>
    <definedName name="_12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149"}</definedName>
    <definedName name="_12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148"}</definedName>
    <definedName name="_12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147"}</definedName>
    <definedName name="_12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146"}</definedName>
    <definedName name="_12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145"}</definedName>
    <definedName name="_12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144"}</definedName>
    <definedName name="_12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143"}</definedName>
    <definedName name="_12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142"}</definedName>
    <definedName name="_12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141"}</definedName>
    <definedName name="_12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140"}</definedName>
    <definedName name="_12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139"}</definedName>
    <definedName name="_12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138"}</definedName>
    <definedName name="_12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137"}</definedName>
    <definedName name="_12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136"}</definedName>
    <definedName name="_12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135"}</definedName>
    <definedName name="_12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134"}</definedName>
    <definedName name="_12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133"}</definedName>
    <definedName name="_12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132"}</definedName>
    <definedName name="_12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131"}</definedName>
    <definedName name="_12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130"}</definedName>
    <definedName name="_12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129"}</definedName>
    <definedName name="_12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128"}</definedName>
    <definedName name="_12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127"}</definedName>
    <definedName name="_12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126"}</definedName>
    <definedName name="_12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125"}</definedName>
    <definedName name="_12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124"}</definedName>
    <definedName name="_12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123"}</definedName>
    <definedName name="_12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122"}</definedName>
    <definedName name="_12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121"}</definedName>
    <definedName name="_12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120"}</definedName>
    <definedName name="_12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119"}</definedName>
    <definedName name="_12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118"}</definedName>
    <definedName name="_1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117"}</definedName>
    <definedName name="_12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116"}</definedName>
    <definedName name="_12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115"}</definedName>
    <definedName name="_12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114"}</definedName>
    <definedName name="_12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113"}</definedName>
    <definedName name="_12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112"}</definedName>
    <definedName name="_12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111"}</definedName>
    <definedName name="_12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110"}</definedName>
    <definedName name="_12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109"}</definedName>
    <definedName name="_12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108"}</definedName>
    <definedName name="_1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107"}</definedName>
    <definedName name="_12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106"}</definedName>
    <definedName name="_12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105"}</definedName>
    <definedName name="_12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104"}</definedName>
    <definedName name="_12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103"}</definedName>
    <definedName name="_12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102"}</definedName>
    <definedName name="_12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101"}</definedName>
    <definedName name="_12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100"}</definedName>
    <definedName name="_12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99"}</definedName>
    <definedName name="_12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98"}</definedName>
    <definedName name="_1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97"}</definedName>
    <definedName name="_12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96"}</definedName>
    <definedName name="_12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95"}</definedName>
    <definedName name="_12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94"}</definedName>
    <definedName name="_12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93"}</definedName>
    <definedName name="_12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92"}</definedName>
    <definedName name="_12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91"}</definedName>
    <definedName name="_12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90"}</definedName>
    <definedName name="_12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89"}</definedName>
    <definedName name="_12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88"}</definedName>
    <definedName name="_1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87"}</definedName>
    <definedName name="_12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86"}</definedName>
    <definedName name="_12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85"}</definedName>
    <definedName name="_12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84"}</definedName>
    <definedName name="_12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83"}</definedName>
    <definedName name="_12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82"}</definedName>
    <definedName name="_12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81"}</definedName>
    <definedName name="_12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80"}</definedName>
    <definedName name="_12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79"}</definedName>
    <definedName name="_12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78"}</definedName>
    <definedName name="_1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77"}</definedName>
    <definedName name="_12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76"}</definedName>
    <definedName name="_12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75"}</definedName>
    <definedName name="_12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74"}</definedName>
    <definedName name="_12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73"}</definedName>
    <definedName name="_12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72"}</definedName>
    <definedName name="_12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71"}</definedName>
    <definedName name="_12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70"}</definedName>
    <definedName name="_12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69"}</definedName>
    <definedName name="_12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68"}</definedName>
    <definedName name="_13__123Graph_XCHART_2" localSheetId="1" hidden="1">'[1]Long Term Prices'!#REF!</definedName>
    <definedName name="_13__123Graph_XCHART_2" hidden="1">'[1]Long Term Prices'!#REF!</definedName>
    <definedName name="_1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67"}</definedName>
    <definedName name="_13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66"}</definedName>
    <definedName name="_13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65"}</definedName>
    <definedName name="_13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64"}</definedName>
    <definedName name="_13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63"}</definedName>
    <definedName name="_13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62"}</definedName>
    <definedName name="_13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61"}</definedName>
    <definedName name="_13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60"}</definedName>
    <definedName name="_13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59"}</definedName>
    <definedName name="_13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58"}</definedName>
    <definedName name="_1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57"}</definedName>
    <definedName name="_13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56"}</definedName>
    <definedName name="_13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55"}</definedName>
    <definedName name="_13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54"}</definedName>
    <definedName name="_13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53"}</definedName>
    <definedName name="_13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52"}</definedName>
    <definedName name="_13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51"}</definedName>
    <definedName name="_13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50"}</definedName>
    <definedName name="_13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49"}</definedName>
    <definedName name="_13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48"}</definedName>
    <definedName name="_1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47"}</definedName>
    <definedName name="_13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46"}</definedName>
    <definedName name="_13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45"}</definedName>
    <definedName name="_13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44"}</definedName>
    <definedName name="_13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43"}</definedName>
    <definedName name="_13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42"}</definedName>
    <definedName name="_13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41"}</definedName>
    <definedName name="_13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40"}</definedName>
    <definedName name="_13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39"}</definedName>
    <definedName name="_13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38"}</definedName>
    <definedName name="_1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37"}</definedName>
    <definedName name="_13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36"}</definedName>
    <definedName name="_13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35"}</definedName>
    <definedName name="_13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34"}</definedName>
    <definedName name="_13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33"}</definedName>
    <definedName name="_13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32"}</definedName>
    <definedName name="_13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31"}</definedName>
    <definedName name="_13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30"}</definedName>
    <definedName name="_13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29"}</definedName>
    <definedName name="_13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28"}</definedName>
    <definedName name="_1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27"}</definedName>
    <definedName name="_13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26"}</definedName>
    <definedName name="_13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25"}</definedName>
    <definedName name="_13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24"}</definedName>
    <definedName name="_13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23"}</definedName>
    <definedName name="_13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22"}</definedName>
    <definedName name="_13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21"}</definedName>
    <definedName name="_13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20"}</definedName>
    <definedName name="_13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19"}</definedName>
    <definedName name="_13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18"}</definedName>
    <definedName name="_1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definedName>
    <definedName name="_13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definedName>
    <definedName name="_13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definedName>
    <definedName name="_13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definedName>
    <definedName name="_13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definedName>
    <definedName name="_13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definedName>
    <definedName name="_13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definedName>
    <definedName name="_13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definedName>
    <definedName name="_13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definedName>
    <definedName name="_13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definedName>
    <definedName name="_1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definedName>
    <definedName name="_13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definedName>
    <definedName name="_13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definedName>
    <definedName name="_13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definedName>
    <definedName name="_13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definedName>
    <definedName name="_13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definedName>
    <definedName name="_13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definedName>
    <definedName name="_13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0"}</definedName>
    <definedName name="_13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170"}</definedName>
    <definedName name="_13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169"}</definedName>
    <definedName name="_1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168"}</definedName>
    <definedName name="_13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167"}</definedName>
    <definedName name="_13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166"}</definedName>
    <definedName name="_13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165"}</definedName>
    <definedName name="_13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164"}</definedName>
    <definedName name="_13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163"}</definedName>
    <definedName name="_13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162"}</definedName>
    <definedName name="_13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161"}</definedName>
    <definedName name="_13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160"}</definedName>
    <definedName name="_13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159"}</definedName>
    <definedName name="_1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158"}</definedName>
    <definedName name="_13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157"}</definedName>
    <definedName name="_13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156"}</definedName>
    <definedName name="_13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155"}</definedName>
    <definedName name="_13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154"}</definedName>
    <definedName name="_13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153"}</definedName>
    <definedName name="_13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152"}</definedName>
    <definedName name="_13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151"}</definedName>
    <definedName name="_13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150"}</definedName>
    <definedName name="_13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149"}</definedName>
    <definedName name="_1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148"}</definedName>
    <definedName name="_13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147"}</definedName>
    <definedName name="_13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146"}</definedName>
    <definedName name="_13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145"}</definedName>
    <definedName name="_13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144"}</definedName>
    <definedName name="_13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143"}</definedName>
    <definedName name="_13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142"}</definedName>
    <definedName name="_13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141"}</definedName>
    <definedName name="_13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140"}</definedName>
    <definedName name="_13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139"}</definedName>
    <definedName name="_14__123Graph_XCHART_3" localSheetId="1" hidden="1">[2]AnnualData!#REF!</definedName>
    <definedName name="_14__123Graph_XCHART_3" hidden="1">[2]AnnualData!#REF!</definedName>
    <definedName name="_1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138"}</definedName>
    <definedName name="_14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137"}</definedName>
    <definedName name="_14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136"}</definedName>
    <definedName name="_14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135"}</definedName>
    <definedName name="_14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134"}</definedName>
    <definedName name="_14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133"}</definedName>
    <definedName name="_14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132"}</definedName>
    <definedName name="_14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131"}</definedName>
    <definedName name="_14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130"}</definedName>
    <definedName name="_14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129"}</definedName>
    <definedName name="_1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128"}</definedName>
    <definedName name="_14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127"}</definedName>
    <definedName name="_14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126"}</definedName>
    <definedName name="_14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125"}</definedName>
    <definedName name="_14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124"}</definedName>
    <definedName name="_14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123"}</definedName>
    <definedName name="_14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122"}</definedName>
    <definedName name="_14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121"}</definedName>
    <definedName name="_14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120"}</definedName>
    <definedName name="_14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119"}</definedName>
    <definedName name="_1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118"}</definedName>
    <definedName name="_14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117"}</definedName>
    <definedName name="_14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116"}</definedName>
    <definedName name="_14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115"}</definedName>
    <definedName name="_14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114"}</definedName>
    <definedName name="_14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113"}</definedName>
    <definedName name="_14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112"}</definedName>
    <definedName name="_14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111"}</definedName>
    <definedName name="_14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110"}</definedName>
    <definedName name="_14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109"}</definedName>
    <definedName name="_1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108"}</definedName>
    <definedName name="_14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107"}</definedName>
    <definedName name="_14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106"}</definedName>
    <definedName name="_14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105"}</definedName>
    <definedName name="_14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104"}</definedName>
    <definedName name="_14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103"}</definedName>
    <definedName name="_14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102"}</definedName>
    <definedName name="_14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101"}</definedName>
    <definedName name="_14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100"}</definedName>
    <definedName name="_14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99"}</definedName>
    <definedName name="_1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98"}</definedName>
    <definedName name="_14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97"}</definedName>
    <definedName name="_14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96"}</definedName>
    <definedName name="_14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95"}</definedName>
    <definedName name="_14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94"}</definedName>
    <definedName name="_14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93"}</definedName>
    <definedName name="_14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92"}</definedName>
    <definedName name="_14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91"}</definedName>
    <definedName name="_14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90"}</definedName>
    <definedName name="_14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89"}</definedName>
    <definedName name="_1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88"}</definedName>
    <definedName name="_14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87"}</definedName>
    <definedName name="_14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86"}</definedName>
    <definedName name="_14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85"}</definedName>
    <definedName name="_14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84"}</definedName>
    <definedName name="_14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83"}</definedName>
    <definedName name="_14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82"}</definedName>
    <definedName name="_14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81"}</definedName>
    <definedName name="_14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80"}</definedName>
    <definedName name="_14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79"}</definedName>
    <definedName name="_1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78"}</definedName>
    <definedName name="_14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77"}</definedName>
    <definedName name="_14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76"}</definedName>
    <definedName name="_14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75"}</definedName>
    <definedName name="_14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74"}</definedName>
    <definedName name="_14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73"}</definedName>
    <definedName name="_14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72"}</definedName>
    <definedName name="_14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71"}</definedName>
    <definedName name="_14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70"}</definedName>
    <definedName name="_14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69"}</definedName>
    <definedName name="_1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68"}</definedName>
    <definedName name="_14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67"}</definedName>
    <definedName name="_14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66"}</definedName>
    <definedName name="_14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65"}</definedName>
    <definedName name="_14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64"}</definedName>
    <definedName name="_14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63"}</definedName>
    <definedName name="_14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62"}</definedName>
    <definedName name="_14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61"}</definedName>
    <definedName name="_14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60"}</definedName>
    <definedName name="_14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59"}</definedName>
    <definedName name="_1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58"}</definedName>
    <definedName name="_14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57"}</definedName>
    <definedName name="_14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56"}</definedName>
    <definedName name="_14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55"}</definedName>
    <definedName name="_14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54"}</definedName>
    <definedName name="_14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53"}</definedName>
    <definedName name="_14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52"}</definedName>
    <definedName name="_14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51"}</definedName>
    <definedName name="_14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50"}</definedName>
    <definedName name="_14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49"}</definedName>
    <definedName name="_1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48"}</definedName>
    <definedName name="_14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47"}</definedName>
    <definedName name="_14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46"}</definedName>
    <definedName name="_14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45"}</definedName>
    <definedName name="_14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44"}</definedName>
    <definedName name="_14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43"}</definedName>
    <definedName name="_14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42"}</definedName>
    <definedName name="_14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41"}</definedName>
    <definedName name="_14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40"}</definedName>
    <definedName name="_14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39"}</definedName>
    <definedName name="_15__123Graph_BCHART_8A" hidden="1">#REF!</definedName>
    <definedName name="_15__123Graph_CCHART_21A" hidden="1">[4]SHELL!#REF!</definedName>
    <definedName name="_15__123Graph_XCHART_4" localSheetId="1" hidden="1">[2]AnnualData!#REF!</definedName>
    <definedName name="_15__123Graph_XCHART_4" hidden="1">[2]AnnualData!#REF!</definedName>
    <definedName name="_1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38"}</definedName>
    <definedName name="_15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37"}</definedName>
    <definedName name="_15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36"}</definedName>
    <definedName name="_15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35"}</definedName>
    <definedName name="_15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34"}</definedName>
    <definedName name="_15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33"}</definedName>
    <definedName name="_15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32"}</definedName>
    <definedName name="_15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31"}</definedName>
    <definedName name="_15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30"}</definedName>
    <definedName name="_15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29"}</definedName>
    <definedName name="_1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28"}</definedName>
    <definedName name="_15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27"}</definedName>
    <definedName name="_15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26"}</definedName>
    <definedName name="_15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25"}</definedName>
    <definedName name="_15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24"}</definedName>
    <definedName name="_15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23"}</definedName>
    <definedName name="_15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22"}</definedName>
    <definedName name="_15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21"}</definedName>
    <definedName name="_15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20"}</definedName>
    <definedName name="_15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19"}</definedName>
    <definedName name="_1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18"}</definedName>
    <definedName name="_15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definedName>
    <definedName name="_15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definedName>
    <definedName name="_15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definedName>
    <definedName name="_15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definedName>
    <definedName name="_15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definedName>
    <definedName name="_15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definedName>
    <definedName name="_15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definedName>
    <definedName name="_15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definedName>
    <definedName name="_15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definedName>
    <definedName name="_1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definedName>
    <definedName name="_15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definedName>
    <definedName name="_15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definedName>
    <definedName name="_15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definedName>
    <definedName name="_15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definedName>
    <definedName name="_15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definedName>
    <definedName name="_15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definedName>
    <definedName name="_15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definedName>
    <definedName name="_15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0"}</definedName>
    <definedName name="_153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170"}</definedName>
    <definedName name="_1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4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169"}</definedName>
    <definedName name="_154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168"}</definedName>
    <definedName name="_154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167"}</definedName>
    <definedName name="_154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166"}</definedName>
    <definedName name="_154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165"}</definedName>
    <definedName name="_154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164"}</definedName>
    <definedName name="_154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163"}</definedName>
    <definedName name="_154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162"}</definedName>
    <definedName name="_154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161"}</definedName>
    <definedName name="_154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160"}</definedName>
    <definedName name="_1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5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159"}</definedName>
    <definedName name="_155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158"}</definedName>
    <definedName name="_155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157"}</definedName>
    <definedName name="_155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156"}</definedName>
    <definedName name="_155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155"}</definedName>
    <definedName name="_155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154"}</definedName>
    <definedName name="_155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153"}</definedName>
    <definedName name="_155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152"}</definedName>
    <definedName name="_155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151"}</definedName>
    <definedName name="_155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150"}</definedName>
    <definedName name="_1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6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149"}</definedName>
    <definedName name="_156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148"}</definedName>
    <definedName name="_156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147"}</definedName>
    <definedName name="_156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146"}</definedName>
    <definedName name="_156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145"}</definedName>
    <definedName name="_156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144"}</definedName>
    <definedName name="_156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143"}</definedName>
    <definedName name="_156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142"}</definedName>
    <definedName name="_156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141"}</definedName>
    <definedName name="_156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140"}</definedName>
    <definedName name="_1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7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139"}</definedName>
    <definedName name="_157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138"}</definedName>
    <definedName name="_157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137"}</definedName>
    <definedName name="_157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136"}</definedName>
    <definedName name="_157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135"}</definedName>
    <definedName name="_157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134"}</definedName>
    <definedName name="_157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133"}</definedName>
    <definedName name="_157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132"}</definedName>
    <definedName name="_157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131"}</definedName>
    <definedName name="_157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130"}</definedName>
    <definedName name="_1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8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129"}</definedName>
    <definedName name="_158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128"}</definedName>
    <definedName name="_158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127"}</definedName>
    <definedName name="_158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126"}</definedName>
    <definedName name="_158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125"}</definedName>
    <definedName name="_158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124"}</definedName>
    <definedName name="_158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123"}</definedName>
    <definedName name="_158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122"}</definedName>
    <definedName name="_158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121"}</definedName>
    <definedName name="_158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120"}</definedName>
    <definedName name="_1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9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119"}</definedName>
    <definedName name="_159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118"}</definedName>
    <definedName name="_159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117"}</definedName>
    <definedName name="_159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116"}</definedName>
    <definedName name="_159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115"}</definedName>
    <definedName name="_159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114"}</definedName>
    <definedName name="_159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113"}</definedName>
    <definedName name="_159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112"}</definedName>
    <definedName name="_159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111"}</definedName>
    <definedName name="_159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110"}</definedName>
    <definedName name="_16__123Graph_XCHART_5" localSheetId="1" hidden="1">[2]AnnualData!#REF!</definedName>
    <definedName name="_16__123Graph_XCHART_5" hidden="1">[2]AnnualData!#REF!</definedName>
    <definedName name="_1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0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109"}</definedName>
    <definedName name="_160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108"}</definedName>
    <definedName name="_160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107"}</definedName>
    <definedName name="_160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106"}</definedName>
    <definedName name="_160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105"}</definedName>
    <definedName name="_160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104"}</definedName>
    <definedName name="_160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103"}</definedName>
    <definedName name="_160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102"}</definedName>
    <definedName name="_160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101"}</definedName>
    <definedName name="_160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100"}</definedName>
    <definedName name="_1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1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99"}</definedName>
    <definedName name="_161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98"}</definedName>
    <definedName name="_161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97"}</definedName>
    <definedName name="_161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96"}</definedName>
    <definedName name="_161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95"}</definedName>
    <definedName name="_161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94"}</definedName>
    <definedName name="_161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93"}</definedName>
    <definedName name="_161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92"}</definedName>
    <definedName name="_161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91"}</definedName>
    <definedName name="_161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90"}</definedName>
    <definedName name="_1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2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89"}</definedName>
    <definedName name="_162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88"}</definedName>
    <definedName name="_162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87"}</definedName>
    <definedName name="_162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86"}</definedName>
    <definedName name="_162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85"}</definedName>
    <definedName name="_162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84"}</definedName>
    <definedName name="_162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83"}</definedName>
    <definedName name="_162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82"}</definedName>
    <definedName name="_162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81"}</definedName>
    <definedName name="_162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80"}</definedName>
    <definedName name="_1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3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79"}</definedName>
    <definedName name="_163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78"}</definedName>
    <definedName name="_163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77"}</definedName>
    <definedName name="_163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76"}</definedName>
    <definedName name="_163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75"}</definedName>
    <definedName name="_163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74"}</definedName>
    <definedName name="_163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73"}</definedName>
    <definedName name="_163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72"}</definedName>
    <definedName name="_163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71"}</definedName>
    <definedName name="_163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70"}</definedName>
    <definedName name="_1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4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69"}</definedName>
    <definedName name="_164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68"}</definedName>
    <definedName name="_164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67"}</definedName>
    <definedName name="_164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66"}</definedName>
    <definedName name="_164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65"}</definedName>
    <definedName name="_164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64"}</definedName>
    <definedName name="_164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63"}</definedName>
    <definedName name="_164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62"}</definedName>
    <definedName name="_164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61"}</definedName>
    <definedName name="_164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60"}</definedName>
    <definedName name="_1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5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59"}</definedName>
    <definedName name="_165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58"}</definedName>
    <definedName name="_165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57"}</definedName>
    <definedName name="_165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56"}</definedName>
    <definedName name="_165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55"}</definedName>
    <definedName name="_165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54"}</definedName>
    <definedName name="_165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53"}</definedName>
    <definedName name="_165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52"}</definedName>
    <definedName name="_165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51"}</definedName>
    <definedName name="_165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50"}</definedName>
    <definedName name="_1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6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49"}</definedName>
    <definedName name="_166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48"}</definedName>
    <definedName name="_166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47"}</definedName>
    <definedName name="_166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46"}</definedName>
    <definedName name="_166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45"}</definedName>
    <definedName name="_166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44"}</definedName>
    <definedName name="_166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43"}</definedName>
    <definedName name="_166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42"}</definedName>
    <definedName name="_166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41"}</definedName>
    <definedName name="_166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40"}</definedName>
    <definedName name="_1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7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39"}</definedName>
    <definedName name="_167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38"}</definedName>
    <definedName name="_167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37"}</definedName>
    <definedName name="_167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36"}</definedName>
    <definedName name="_167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35"}</definedName>
    <definedName name="_167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34"}</definedName>
    <definedName name="_167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33"}</definedName>
    <definedName name="_167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32"}</definedName>
    <definedName name="_167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31"}</definedName>
    <definedName name="_167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30"}</definedName>
    <definedName name="_1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8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29"}</definedName>
    <definedName name="_168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28"}</definedName>
    <definedName name="_168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27"}</definedName>
    <definedName name="_168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26"}</definedName>
    <definedName name="_168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25"}</definedName>
    <definedName name="_168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24"}</definedName>
    <definedName name="_168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23"}</definedName>
    <definedName name="_168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22"}</definedName>
    <definedName name="_168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21"}</definedName>
    <definedName name="_168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20"}</definedName>
    <definedName name="_1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9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19"}</definedName>
    <definedName name="_169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18"}</definedName>
    <definedName name="_169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17"}</definedName>
    <definedName name="_169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definedName>
    <definedName name="_169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definedName>
    <definedName name="_169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definedName>
    <definedName name="_169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definedName>
    <definedName name="_169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definedName>
    <definedName name="_169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definedName>
    <definedName name="_169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definedName>
    <definedName name="_1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0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definedName>
    <definedName name="_170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definedName>
    <definedName name="_170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definedName>
    <definedName name="_170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definedName>
    <definedName name="_170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definedName>
    <definedName name="_170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definedName>
    <definedName name="_170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definedName>
    <definedName name="_170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definedName>
    <definedName name="_170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definedName>
    <definedName name="_170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170"}</definedName>
    <definedName name="_1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1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169"}</definedName>
    <definedName name="_17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168"}</definedName>
    <definedName name="_17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167"}</definedName>
    <definedName name="_17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166"}</definedName>
    <definedName name="_17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165"}</definedName>
    <definedName name="_17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164"}</definedName>
    <definedName name="_17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163"}</definedName>
    <definedName name="_17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162"}</definedName>
    <definedName name="_17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161"}</definedName>
    <definedName name="_17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160"}</definedName>
    <definedName name="_1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159"}</definedName>
    <definedName name="_17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158"}</definedName>
    <definedName name="_17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157"}</definedName>
    <definedName name="_17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156"}</definedName>
    <definedName name="_17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155"}</definedName>
    <definedName name="_17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154"}</definedName>
    <definedName name="_172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153"}</definedName>
    <definedName name="_172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152"}</definedName>
    <definedName name="_172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151"}</definedName>
    <definedName name="_172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150"}</definedName>
    <definedName name="_1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3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149"}</definedName>
    <definedName name="_173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148"}</definedName>
    <definedName name="_173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147"}</definedName>
    <definedName name="_173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146"}</definedName>
    <definedName name="_173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145"}</definedName>
    <definedName name="_173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144"}</definedName>
    <definedName name="_173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143"}</definedName>
    <definedName name="_173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142"}</definedName>
    <definedName name="_173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141"}</definedName>
    <definedName name="_173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140"}</definedName>
    <definedName name="_1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4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139"}</definedName>
    <definedName name="_174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138"}</definedName>
    <definedName name="_174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137"}</definedName>
    <definedName name="_174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136"}</definedName>
    <definedName name="_174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135"}</definedName>
    <definedName name="_174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134"}</definedName>
    <definedName name="_174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133"}</definedName>
    <definedName name="_174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132"}</definedName>
    <definedName name="_174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131"}</definedName>
    <definedName name="_174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130"}</definedName>
    <definedName name="_1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5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129"}</definedName>
    <definedName name="_175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128"}</definedName>
    <definedName name="_175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127"}</definedName>
    <definedName name="_175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126"}</definedName>
    <definedName name="_175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125"}</definedName>
    <definedName name="_175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124"}</definedName>
    <definedName name="_175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123"}</definedName>
    <definedName name="_175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122"}</definedName>
    <definedName name="_175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121"}</definedName>
    <definedName name="_175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120"}</definedName>
    <definedName name="_1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6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119"}</definedName>
    <definedName name="_176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118"}</definedName>
    <definedName name="_176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117"}</definedName>
    <definedName name="_176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116"}</definedName>
    <definedName name="_176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115"}</definedName>
    <definedName name="_176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114"}</definedName>
    <definedName name="_176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113"}</definedName>
    <definedName name="_176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112"}</definedName>
    <definedName name="_176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111"}</definedName>
    <definedName name="_176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110"}</definedName>
    <definedName name="_1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7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109"}</definedName>
    <definedName name="_177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108"}</definedName>
    <definedName name="_177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107"}</definedName>
    <definedName name="_177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106"}</definedName>
    <definedName name="_177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105"}</definedName>
    <definedName name="_177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104"}</definedName>
    <definedName name="_177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103"}</definedName>
    <definedName name="_177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102"}</definedName>
    <definedName name="_177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101"}</definedName>
    <definedName name="_177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100"}</definedName>
    <definedName name="_1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8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99"}</definedName>
    <definedName name="_178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98"}</definedName>
    <definedName name="_178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97"}</definedName>
    <definedName name="_178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96"}</definedName>
    <definedName name="_178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95"}</definedName>
    <definedName name="_178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94"}</definedName>
    <definedName name="_178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93"}</definedName>
    <definedName name="_178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92"}</definedName>
    <definedName name="_178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91"}</definedName>
    <definedName name="_178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90"}</definedName>
    <definedName name="_1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9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89"}</definedName>
    <definedName name="_179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88"}</definedName>
    <definedName name="_179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87"}</definedName>
    <definedName name="_179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86"}</definedName>
    <definedName name="_179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85"}</definedName>
    <definedName name="_179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84"}</definedName>
    <definedName name="_179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83"}</definedName>
    <definedName name="_179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82"}</definedName>
    <definedName name="_179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81"}</definedName>
    <definedName name="_179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80"}</definedName>
    <definedName name="_18__123Graph_CCHART_21A" hidden="1">#REF!</definedName>
    <definedName name="_18__123Graph_CCHART_8A" hidden="1">[4]SHELL!#REF!</definedName>
    <definedName name="_1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0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79"}</definedName>
    <definedName name="_180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78"}</definedName>
    <definedName name="_180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77"}</definedName>
    <definedName name="_180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76"}</definedName>
    <definedName name="_180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75"}</definedName>
    <definedName name="_180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74"}</definedName>
    <definedName name="_180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73"}</definedName>
    <definedName name="_180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72"}</definedName>
    <definedName name="_180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71"}</definedName>
    <definedName name="_180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70"}</definedName>
    <definedName name="_1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1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69"}</definedName>
    <definedName name="_18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68"}</definedName>
    <definedName name="_18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67"}</definedName>
    <definedName name="_18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66"}</definedName>
    <definedName name="_18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65"}</definedName>
    <definedName name="_18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64"}</definedName>
    <definedName name="_18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63"}</definedName>
    <definedName name="_18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62"}</definedName>
    <definedName name="_18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61"}</definedName>
    <definedName name="_18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60"}</definedName>
    <definedName name="_1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59"}</definedName>
    <definedName name="_18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58"}</definedName>
    <definedName name="_18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57"}</definedName>
    <definedName name="_18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56"}</definedName>
    <definedName name="_18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55"}</definedName>
    <definedName name="_18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54"}</definedName>
    <definedName name="_182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53"}</definedName>
    <definedName name="_182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52"}</definedName>
    <definedName name="_182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51"}</definedName>
    <definedName name="_182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50"}</definedName>
    <definedName name="_1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3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49"}</definedName>
    <definedName name="_183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48"}</definedName>
    <definedName name="_183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47"}</definedName>
    <definedName name="_183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46"}</definedName>
    <definedName name="_183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45"}</definedName>
    <definedName name="_183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44"}</definedName>
    <definedName name="_183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43"}</definedName>
    <definedName name="_183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42"}</definedName>
    <definedName name="_183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41"}</definedName>
    <definedName name="_183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40"}</definedName>
    <definedName name="_1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4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39"}</definedName>
    <definedName name="_184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38"}</definedName>
    <definedName name="_184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37"}</definedName>
    <definedName name="_184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36"}</definedName>
    <definedName name="_184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35"}</definedName>
    <definedName name="_184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34"}</definedName>
    <definedName name="_184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33"}</definedName>
    <definedName name="_184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32"}</definedName>
    <definedName name="_184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31"}</definedName>
    <definedName name="_184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30"}</definedName>
    <definedName name="_1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5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29"}</definedName>
    <definedName name="_185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28"}</definedName>
    <definedName name="_185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27"}</definedName>
    <definedName name="_185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26"}</definedName>
    <definedName name="_185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25"}</definedName>
    <definedName name="_185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24"}</definedName>
    <definedName name="_185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23"}</definedName>
    <definedName name="_185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22"}</definedName>
    <definedName name="_185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21"}</definedName>
    <definedName name="_185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20"}</definedName>
    <definedName name="_1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6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19"}</definedName>
    <definedName name="_186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18"}</definedName>
    <definedName name="_186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17"}</definedName>
    <definedName name="_186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definedName>
    <definedName name="_186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definedName>
    <definedName name="_186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definedName>
    <definedName name="_186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definedName>
    <definedName name="_186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definedName>
    <definedName name="_186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definedName>
    <definedName name="_186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definedName>
    <definedName name="_1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7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definedName>
    <definedName name="_187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definedName>
    <definedName name="_187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definedName>
    <definedName name="_187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definedName>
    <definedName name="_187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definedName>
    <definedName name="_187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definedName>
    <definedName name="_187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definedName>
    <definedName name="_187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definedName>
    <definedName name="_187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definedName>
    <definedName name="_18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170"}</definedName>
    <definedName name="_1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169"}</definedName>
    <definedName name="_18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168"}</definedName>
    <definedName name="_18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167"}</definedName>
    <definedName name="_18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166"}</definedName>
    <definedName name="_18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165"}</definedName>
    <definedName name="_18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164"}</definedName>
    <definedName name="_18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163"}</definedName>
    <definedName name="_18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162"}</definedName>
    <definedName name="_18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161"}</definedName>
    <definedName name="_18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160"}</definedName>
    <definedName name="_1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159"}</definedName>
    <definedName name="_18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158"}</definedName>
    <definedName name="_18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157"}</definedName>
    <definedName name="_18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156"}</definedName>
    <definedName name="_18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155"}</definedName>
    <definedName name="_18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154"}</definedName>
    <definedName name="_18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153"}</definedName>
    <definedName name="_18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152"}</definedName>
    <definedName name="_18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151"}</definedName>
    <definedName name="_18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150"}</definedName>
    <definedName name="_1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149"}</definedName>
    <definedName name="_19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148"}</definedName>
    <definedName name="_19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147"}</definedName>
    <definedName name="_19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146"}</definedName>
    <definedName name="_19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145"}</definedName>
    <definedName name="_19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144"}</definedName>
    <definedName name="_19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143"}</definedName>
    <definedName name="_19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142"}</definedName>
    <definedName name="_19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141"}</definedName>
    <definedName name="_19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140"}</definedName>
    <definedName name="_1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139"}</definedName>
    <definedName name="_19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138"}</definedName>
    <definedName name="_19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137"}</definedName>
    <definedName name="_19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136"}</definedName>
    <definedName name="_19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135"}</definedName>
    <definedName name="_19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134"}</definedName>
    <definedName name="_19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133"}</definedName>
    <definedName name="_19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132"}</definedName>
    <definedName name="_19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131"}</definedName>
    <definedName name="_19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130"}</definedName>
    <definedName name="_1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129"}</definedName>
    <definedName name="_19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128"}</definedName>
    <definedName name="_19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127"}</definedName>
    <definedName name="_19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126"}</definedName>
    <definedName name="_19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125"}</definedName>
    <definedName name="_19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124"}</definedName>
    <definedName name="_19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123"}</definedName>
    <definedName name="_19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122"}</definedName>
    <definedName name="_19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121"}</definedName>
    <definedName name="_19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120"}</definedName>
    <definedName name="_1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119"}</definedName>
    <definedName name="_19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118"}</definedName>
    <definedName name="_19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117"}</definedName>
    <definedName name="_19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116"}</definedName>
    <definedName name="_19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115"}</definedName>
    <definedName name="_19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114"}</definedName>
    <definedName name="_19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113"}</definedName>
    <definedName name="_19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112"}</definedName>
    <definedName name="_19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111"}</definedName>
    <definedName name="_19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110"}</definedName>
    <definedName name="_1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109"}</definedName>
    <definedName name="_19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108"}</definedName>
    <definedName name="_19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107"}</definedName>
    <definedName name="_19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106"}</definedName>
    <definedName name="_19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105"}</definedName>
    <definedName name="_19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104"}</definedName>
    <definedName name="_19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103"}</definedName>
    <definedName name="_19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102"}</definedName>
    <definedName name="_19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101"}</definedName>
    <definedName name="_19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100"}</definedName>
    <definedName name="_1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99"}</definedName>
    <definedName name="_19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98"}</definedName>
    <definedName name="_19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97"}</definedName>
    <definedName name="_19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96"}</definedName>
    <definedName name="_19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95"}</definedName>
    <definedName name="_19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94"}</definedName>
    <definedName name="_19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93"}</definedName>
    <definedName name="_19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92"}</definedName>
    <definedName name="_19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91"}</definedName>
    <definedName name="_19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90"}</definedName>
    <definedName name="_1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89"}</definedName>
    <definedName name="_19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88"}</definedName>
    <definedName name="_19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87"}</definedName>
    <definedName name="_19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86"}</definedName>
    <definedName name="_19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85"}</definedName>
    <definedName name="_19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84"}</definedName>
    <definedName name="_19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83"}</definedName>
    <definedName name="_19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82"}</definedName>
    <definedName name="_19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81"}</definedName>
    <definedName name="_19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80"}</definedName>
    <definedName name="_1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79"}</definedName>
    <definedName name="_19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78"}</definedName>
    <definedName name="_19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77"}</definedName>
    <definedName name="_19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76"}</definedName>
    <definedName name="_19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75"}</definedName>
    <definedName name="_19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74"}</definedName>
    <definedName name="_19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73"}</definedName>
    <definedName name="_19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72"}</definedName>
    <definedName name="_19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71"}</definedName>
    <definedName name="_19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70"}</definedName>
    <definedName name="_1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69"}</definedName>
    <definedName name="_19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68"}</definedName>
    <definedName name="_19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67"}</definedName>
    <definedName name="_19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66"}</definedName>
    <definedName name="_19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65"}</definedName>
    <definedName name="_19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64"}</definedName>
    <definedName name="_19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63"}</definedName>
    <definedName name="_19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62"}</definedName>
    <definedName name="_19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61"}</definedName>
    <definedName name="_19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60"}</definedName>
    <definedName name="_1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59"}</definedName>
    <definedName name="_19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58"}</definedName>
    <definedName name="_19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57"}</definedName>
    <definedName name="_19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56"}</definedName>
    <definedName name="_19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55"}</definedName>
    <definedName name="_19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54"}</definedName>
    <definedName name="_19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53"}</definedName>
    <definedName name="_19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52"}</definedName>
    <definedName name="_19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51"}</definedName>
    <definedName name="_19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50"}</definedName>
    <definedName name="_2__123Graph_ACHART_2" hidden="1">'[1]Long Term Prices'!$BZ$486:$BZ$548</definedName>
    <definedName name="_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49"}</definedName>
    <definedName name="_20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48"}</definedName>
    <definedName name="_20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47"}</definedName>
    <definedName name="_20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46"}</definedName>
    <definedName name="_20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45"}</definedName>
    <definedName name="_20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44"}</definedName>
    <definedName name="_20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43"}</definedName>
    <definedName name="_20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42"}</definedName>
    <definedName name="_20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41"}</definedName>
    <definedName name="_20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40"}</definedName>
    <definedName name="_2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39"}</definedName>
    <definedName name="_20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38"}</definedName>
    <definedName name="_20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37"}</definedName>
    <definedName name="_20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36"}</definedName>
    <definedName name="_20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35"}</definedName>
    <definedName name="_20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34"}</definedName>
    <definedName name="_20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33"}</definedName>
    <definedName name="_20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32"}</definedName>
    <definedName name="_20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31"}</definedName>
    <definedName name="_20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30"}</definedName>
    <definedName name="_2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29"}</definedName>
    <definedName name="_20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28"}</definedName>
    <definedName name="_20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27"}</definedName>
    <definedName name="_20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26"}</definedName>
    <definedName name="_20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25"}</definedName>
    <definedName name="_20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24"}</definedName>
    <definedName name="_20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23"}</definedName>
    <definedName name="_20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22"}</definedName>
    <definedName name="_20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21"}</definedName>
    <definedName name="_20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20"}</definedName>
    <definedName name="_2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19"}</definedName>
    <definedName name="_20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18"}</definedName>
    <definedName name="_20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definedName>
    <definedName name="_20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definedName>
    <definedName name="_20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definedName>
    <definedName name="_20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definedName>
    <definedName name="_20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definedName>
    <definedName name="_20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definedName>
    <definedName name="_20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definedName>
    <definedName name="_20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definedName>
    <definedName name="_2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definedName>
    <definedName name="_20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definedName>
    <definedName name="_20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definedName>
    <definedName name="_20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definedName>
    <definedName name="_20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definedName>
    <definedName name="_20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definedName>
    <definedName name="_20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definedName>
    <definedName name="_20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definedName>
    <definedName name="_20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definedName>
    <definedName name="_20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170"}</definedName>
    <definedName name="_2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169"}</definedName>
    <definedName name="_20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168"}</definedName>
    <definedName name="_20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167"}</definedName>
    <definedName name="_20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166"}</definedName>
    <definedName name="_20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165"}</definedName>
    <definedName name="_20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164"}</definedName>
    <definedName name="_20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163"}</definedName>
    <definedName name="_20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162"}</definedName>
    <definedName name="_20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161"}</definedName>
    <definedName name="_20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160"}</definedName>
    <definedName name="_2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159"}</definedName>
    <definedName name="_20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158"}</definedName>
    <definedName name="_20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157"}</definedName>
    <definedName name="_20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156"}</definedName>
    <definedName name="_20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155"}</definedName>
    <definedName name="_20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154"}</definedName>
    <definedName name="_20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153"}</definedName>
    <definedName name="_20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152"}</definedName>
    <definedName name="_20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151"}</definedName>
    <definedName name="_20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150"}</definedName>
    <definedName name="_2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149"}</definedName>
    <definedName name="_20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148"}</definedName>
    <definedName name="_20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147"}</definedName>
    <definedName name="_20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146"}</definedName>
    <definedName name="_20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145"}</definedName>
    <definedName name="_20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144"}</definedName>
    <definedName name="_20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143"}</definedName>
    <definedName name="_20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142"}</definedName>
    <definedName name="_20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141"}</definedName>
    <definedName name="_20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140"}</definedName>
    <definedName name="_2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139"}</definedName>
    <definedName name="_20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138"}</definedName>
    <definedName name="_20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137"}</definedName>
    <definedName name="_20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136"}</definedName>
    <definedName name="_20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135"}</definedName>
    <definedName name="_20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134"}</definedName>
    <definedName name="_20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133"}</definedName>
    <definedName name="_20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132"}</definedName>
    <definedName name="_20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131"}</definedName>
    <definedName name="_20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130"}</definedName>
    <definedName name="_2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129"}</definedName>
    <definedName name="_20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128"}</definedName>
    <definedName name="_20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127"}</definedName>
    <definedName name="_20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126"}</definedName>
    <definedName name="_20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125"}</definedName>
    <definedName name="_20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124"}</definedName>
    <definedName name="_20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123"}</definedName>
    <definedName name="_20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122"}</definedName>
    <definedName name="_20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121"}</definedName>
    <definedName name="_20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120"}</definedName>
    <definedName name="_21__123Graph_CCHART_8A" hidden="1">#REF!</definedName>
    <definedName name="_21__123Graph_DCHART_21A" hidden="1">[4]SHELL!#REF!</definedName>
    <definedName name="_2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119"}</definedName>
    <definedName name="_21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118"}</definedName>
    <definedName name="_21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117"}</definedName>
    <definedName name="_21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116"}</definedName>
    <definedName name="_21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115"}</definedName>
    <definedName name="_21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114"}</definedName>
    <definedName name="_21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113"}</definedName>
    <definedName name="_21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112"}</definedName>
    <definedName name="_21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111"}</definedName>
    <definedName name="_21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110"}</definedName>
    <definedName name="_2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109"}</definedName>
    <definedName name="_21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108"}</definedName>
    <definedName name="_21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107"}</definedName>
    <definedName name="_21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106"}</definedName>
    <definedName name="_21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105"}</definedName>
    <definedName name="_21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104"}</definedName>
    <definedName name="_21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103"}</definedName>
    <definedName name="_21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102"}</definedName>
    <definedName name="_21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101"}</definedName>
    <definedName name="_21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100"}</definedName>
    <definedName name="_2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99"}</definedName>
    <definedName name="_21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98"}</definedName>
    <definedName name="_21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97"}</definedName>
    <definedName name="_21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96"}</definedName>
    <definedName name="_21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95"}</definedName>
    <definedName name="_21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94"}</definedName>
    <definedName name="_21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93"}</definedName>
    <definedName name="_21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92"}</definedName>
    <definedName name="_21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91"}</definedName>
    <definedName name="_21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90"}</definedName>
    <definedName name="_2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89"}</definedName>
    <definedName name="_21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88"}</definedName>
    <definedName name="_21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87"}</definedName>
    <definedName name="_21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86"}</definedName>
    <definedName name="_21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85"}</definedName>
    <definedName name="_21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84"}</definedName>
    <definedName name="_21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83"}</definedName>
    <definedName name="_21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82"}</definedName>
    <definedName name="_21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81"}</definedName>
    <definedName name="_21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80"}</definedName>
    <definedName name="_2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79"}</definedName>
    <definedName name="_21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78"}</definedName>
    <definedName name="_21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77"}</definedName>
    <definedName name="_21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76"}</definedName>
    <definedName name="_21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75"}</definedName>
    <definedName name="_21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74"}</definedName>
    <definedName name="_21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73"}</definedName>
    <definedName name="_21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72"}</definedName>
    <definedName name="_21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71"}</definedName>
    <definedName name="_21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70"}</definedName>
    <definedName name="_2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69"}</definedName>
    <definedName name="_21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68"}</definedName>
    <definedName name="_21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67"}</definedName>
    <definedName name="_21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66"}</definedName>
    <definedName name="_21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65"}</definedName>
    <definedName name="_21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64"}</definedName>
    <definedName name="_21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63"}</definedName>
    <definedName name="_21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62"}</definedName>
    <definedName name="_21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61"}</definedName>
    <definedName name="_21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60"}</definedName>
    <definedName name="_2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59"}</definedName>
    <definedName name="_21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58"}</definedName>
    <definedName name="_21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57"}</definedName>
    <definedName name="_21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56"}</definedName>
    <definedName name="_21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55"}</definedName>
    <definedName name="_21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54"}</definedName>
    <definedName name="_21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53"}</definedName>
    <definedName name="_21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52"}</definedName>
    <definedName name="_21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51"}</definedName>
    <definedName name="_21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50"}</definedName>
    <definedName name="_2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49"}</definedName>
    <definedName name="_21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48"}</definedName>
    <definedName name="_21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47"}</definedName>
    <definedName name="_21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46"}</definedName>
    <definedName name="_21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45"}</definedName>
    <definedName name="_21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44"}</definedName>
    <definedName name="_21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43"}</definedName>
    <definedName name="_21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42"}</definedName>
    <definedName name="_21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41"}</definedName>
    <definedName name="_21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40"}</definedName>
    <definedName name="_2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39"}</definedName>
    <definedName name="_21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38"}</definedName>
    <definedName name="_21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37"}</definedName>
    <definedName name="_21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36"}</definedName>
    <definedName name="_21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35"}</definedName>
    <definedName name="_21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34"}</definedName>
    <definedName name="_21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33"}</definedName>
    <definedName name="_21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32"}</definedName>
    <definedName name="_21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31"}</definedName>
    <definedName name="_21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30"}</definedName>
    <definedName name="_2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29"}</definedName>
    <definedName name="_21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28"}</definedName>
    <definedName name="_21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27"}</definedName>
    <definedName name="_21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26"}</definedName>
    <definedName name="_21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25"}</definedName>
    <definedName name="_21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24"}</definedName>
    <definedName name="_21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23"}</definedName>
    <definedName name="_21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22"}</definedName>
    <definedName name="_21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21"}</definedName>
    <definedName name="_21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20"}</definedName>
    <definedName name="_2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19"}</definedName>
    <definedName name="_22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18"}</definedName>
    <definedName name="_22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definedName>
    <definedName name="_22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definedName>
    <definedName name="_22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definedName>
    <definedName name="_22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definedName>
    <definedName name="_22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definedName>
    <definedName name="_22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definedName>
    <definedName name="_22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definedName>
    <definedName name="_22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definedName>
    <definedName name="_2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definedName>
    <definedName name="_22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definedName>
    <definedName name="_22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definedName>
    <definedName name="_22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definedName>
    <definedName name="_22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definedName>
    <definedName name="_22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definedName>
    <definedName name="_22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definedName>
    <definedName name="_22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definedName>
    <definedName name="_22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definedName>
    <definedName name="_22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170"}</definedName>
    <definedName name="_2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169"}</definedName>
    <definedName name="_22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168"}</definedName>
    <definedName name="_22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167"}</definedName>
    <definedName name="_22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166"}</definedName>
    <definedName name="_22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165"}</definedName>
    <definedName name="_22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164"}</definedName>
    <definedName name="_22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163"}</definedName>
    <definedName name="_22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162"}</definedName>
    <definedName name="_22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161"}</definedName>
    <definedName name="_22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160"}</definedName>
    <definedName name="_2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159"}</definedName>
    <definedName name="_22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158"}</definedName>
    <definedName name="_22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157"}</definedName>
    <definedName name="_22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156"}</definedName>
    <definedName name="_22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155"}</definedName>
    <definedName name="_22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154"}</definedName>
    <definedName name="_22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153"}</definedName>
    <definedName name="_22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152"}</definedName>
    <definedName name="_22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151"}</definedName>
    <definedName name="_22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150"}</definedName>
    <definedName name="_2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149"}</definedName>
    <definedName name="_22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148"}</definedName>
    <definedName name="_22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147"}</definedName>
    <definedName name="_22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146"}</definedName>
    <definedName name="_22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145"}</definedName>
    <definedName name="_22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144"}</definedName>
    <definedName name="_22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143"}</definedName>
    <definedName name="_22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142"}</definedName>
    <definedName name="_22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141"}</definedName>
    <definedName name="_22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140"}</definedName>
    <definedName name="_2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139"}</definedName>
    <definedName name="_22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138"}</definedName>
    <definedName name="_22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137"}</definedName>
    <definedName name="_22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136"}</definedName>
    <definedName name="_22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135"}</definedName>
    <definedName name="_22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134"}</definedName>
    <definedName name="_22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133"}</definedName>
    <definedName name="_22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132"}</definedName>
    <definedName name="_22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131"}</definedName>
    <definedName name="_22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130"}</definedName>
    <definedName name="_2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129"}</definedName>
    <definedName name="_22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128"}</definedName>
    <definedName name="_22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127"}</definedName>
    <definedName name="_22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126"}</definedName>
    <definedName name="_22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125"}</definedName>
    <definedName name="_22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124"}</definedName>
    <definedName name="_22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123"}</definedName>
    <definedName name="_22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122"}</definedName>
    <definedName name="_22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121"}</definedName>
    <definedName name="_22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120"}</definedName>
    <definedName name="_2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119"}</definedName>
    <definedName name="_22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118"}</definedName>
    <definedName name="_22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117"}</definedName>
    <definedName name="_22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116"}</definedName>
    <definedName name="_22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115"}</definedName>
    <definedName name="_22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114"}</definedName>
    <definedName name="_22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113"}</definedName>
    <definedName name="_22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112"}</definedName>
    <definedName name="_22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111"}</definedName>
    <definedName name="_22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110"}</definedName>
    <definedName name="_2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109"}</definedName>
    <definedName name="_22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108"}</definedName>
    <definedName name="_22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107"}</definedName>
    <definedName name="_22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106"}</definedName>
    <definedName name="_22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105"}</definedName>
    <definedName name="_22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104"}</definedName>
    <definedName name="_22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103"}</definedName>
    <definedName name="_22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102"}</definedName>
    <definedName name="_22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101"}</definedName>
    <definedName name="_22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100"}</definedName>
    <definedName name="_2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99"}</definedName>
    <definedName name="_22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98"}</definedName>
    <definedName name="_22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97"}</definedName>
    <definedName name="_22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96"}</definedName>
    <definedName name="_22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95"}</definedName>
    <definedName name="_22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94"}</definedName>
    <definedName name="_22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93"}</definedName>
    <definedName name="_22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92"}</definedName>
    <definedName name="_22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91"}</definedName>
    <definedName name="_22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90"}</definedName>
    <definedName name="_2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89"}</definedName>
    <definedName name="_23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88"}</definedName>
    <definedName name="_23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87"}</definedName>
    <definedName name="_23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86"}</definedName>
    <definedName name="_23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85"}</definedName>
    <definedName name="_23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84"}</definedName>
    <definedName name="_23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83"}</definedName>
    <definedName name="_23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82"}</definedName>
    <definedName name="_23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81"}</definedName>
    <definedName name="_23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80"}</definedName>
    <definedName name="_2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79"}</definedName>
    <definedName name="_23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78"}</definedName>
    <definedName name="_23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77"}</definedName>
    <definedName name="_23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76"}</definedName>
    <definedName name="_23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75"}</definedName>
    <definedName name="_23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74"}</definedName>
    <definedName name="_23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73"}</definedName>
    <definedName name="_23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72"}</definedName>
    <definedName name="_23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71"}</definedName>
    <definedName name="_23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70"}</definedName>
    <definedName name="_2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69"}</definedName>
    <definedName name="_23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68"}</definedName>
    <definedName name="_23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67"}</definedName>
    <definedName name="_23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66"}</definedName>
    <definedName name="_23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65"}</definedName>
    <definedName name="_23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64"}</definedName>
    <definedName name="_23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63"}</definedName>
    <definedName name="_23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62"}</definedName>
    <definedName name="_23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61"}</definedName>
    <definedName name="_23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60"}</definedName>
    <definedName name="_2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59"}</definedName>
    <definedName name="_23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58"}</definedName>
    <definedName name="_23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57"}</definedName>
    <definedName name="_23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56"}</definedName>
    <definedName name="_23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55"}</definedName>
    <definedName name="_23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54"}</definedName>
    <definedName name="_23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53"}</definedName>
    <definedName name="_23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52"}</definedName>
    <definedName name="_23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51"}</definedName>
    <definedName name="_23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50"}</definedName>
    <definedName name="_2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49"}</definedName>
    <definedName name="_23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48"}</definedName>
    <definedName name="_23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47"}</definedName>
    <definedName name="_23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46"}</definedName>
    <definedName name="_23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45"}</definedName>
    <definedName name="_23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44"}</definedName>
    <definedName name="_23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43"}</definedName>
    <definedName name="_23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42"}</definedName>
    <definedName name="_23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41"}</definedName>
    <definedName name="_23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40"}</definedName>
    <definedName name="_2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39"}</definedName>
    <definedName name="_23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38"}</definedName>
    <definedName name="_23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37"}</definedName>
    <definedName name="_23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36"}</definedName>
    <definedName name="_23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35"}</definedName>
    <definedName name="_23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34"}</definedName>
    <definedName name="_23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33"}</definedName>
    <definedName name="_23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32"}</definedName>
    <definedName name="_23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31"}</definedName>
    <definedName name="_23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30"}</definedName>
    <definedName name="_2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29"}</definedName>
    <definedName name="_23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28"}</definedName>
    <definedName name="_23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27"}</definedName>
    <definedName name="_23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26"}</definedName>
    <definedName name="_23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25"}</definedName>
    <definedName name="_23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24"}</definedName>
    <definedName name="_23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23"}</definedName>
    <definedName name="_23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22"}</definedName>
    <definedName name="_23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21"}</definedName>
    <definedName name="_23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20"}</definedName>
    <definedName name="_2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19"}</definedName>
    <definedName name="_23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18"}</definedName>
    <definedName name="_23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definedName>
    <definedName name="_23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definedName>
    <definedName name="_23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definedName>
    <definedName name="_23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definedName>
    <definedName name="_23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definedName>
    <definedName name="_23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definedName>
    <definedName name="_23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definedName>
    <definedName name="_23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definedName>
    <definedName name="_2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definedName>
    <definedName name="_23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definedName>
    <definedName name="_23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definedName>
    <definedName name="_23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definedName>
    <definedName name="_23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definedName>
    <definedName name="_23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definedName>
    <definedName name="_23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definedName>
    <definedName name="_23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definedName>
    <definedName name="_23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definedName>
    <definedName name="_23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326"}</definedName>
    <definedName name="_2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325"}</definedName>
    <definedName name="_23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324"}</definedName>
    <definedName name="_23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323"}</definedName>
    <definedName name="_23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322"}</definedName>
    <definedName name="_23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321"}</definedName>
    <definedName name="_23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320"}</definedName>
    <definedName name="_23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319"}</definedName>
    <definedName name="_23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318"}</definedName>
    <definedName name="_23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317"}</definedName>
    <definedName name="_23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316"}</definedName>
    <definedName name="_24__123Graph_DCHART_21A" hidden="1">#REF!</definedName>
    <definedName name="_24__123Graph_DCHART_8A" hidden="1">[4]SHELL!#REF!</definedName>
    <definedName name="_2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315"}</definedName>
    <definedName name="_24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314"}</definedName>
    <definedName name="_24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313"}</definedName>
    <definedName name="_24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312"}</definedName>
    <definedName name="_24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311"}</definedName>
    <definedName name="_24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310"}</definedName>
    <definedName name="_24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309"}</definedName>
    <definedName name="_24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308"}</definedName>
    <definedName name="_24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307"}</definedName>
    <definedName name="_24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306"}</definedName>
    <definedName name="_2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305"}</definedName>
    <definedName name="_24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304"}</definedName>
    <definedName name="_24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303"}</definedName>
    <definedName name="_24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302"}</definedName>
    <definedName name="_24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301"}</definedName>
    <definedName name="_24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300"}</definedName>
    <definedName name="_24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299"}</definedName>
    <definedName name="_24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298"}</definedName>
    <definedName name="_24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297"}</definedName>
    <definedName name="_24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296"}</definedName>
    <definedName name="_2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295"}</definedName>
    <definedName name="_24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294"}</definedName>
    <definedName name="_24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293"}</definedName>
    <definedName name="_24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292"}</definedName>
    <definedName name="_24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291"}</definedName>
    <definedName name="_24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290"}</definedName>
    <definedName name="_24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289"}</definedName>
    <definedName name="_24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288"}</definedName>
    <definedName name="_24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287"}</definedName>
    <definedName name="_24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286"}</definedName>
    <definedName name="_2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285"}</definedName>
    <definedName name="_24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284"}</definedName>
    <definedName name="_24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283"}</definedName>
    <definedName name="_24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282"}</definedName>
    <definedName name="_24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281"}</definedName>
    <definedName name="_24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280"}</definedName>
    <definedName name="_24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279"}</definedName>
    <definedName name="_24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278"}</definedName>
    <definedName name="_24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277"}</definedName>
    <definedName name="_24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276"}</definedName>
    <definedName name="_2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275"}</definedName>
    <definedName name="_24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274"}</definedName>
    <definedName name="_24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273"}</definedName>
    <definedName name="_24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272"}</definedName>
    <definedName name="_24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271"}</definedName>
    <definedName name="_24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270"}</definedName>
    <definedName name="_24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269"}</definedName>
    <definedName name="_24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268"}</definedName>
    <definedName name="_24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267"}</definedName>
    <definedName name="_24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266"}</definedName>
    <definedName name="_2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265"}</definedName>
    <definedName name="_24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264"}</definedName>
    <definedName name="_24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263"}</definedName>
    <definedName name="_24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262"}</definedName>
    <definedName name="_24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261"}</definedName>
    <definedName name="_24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260"}</definedName>
    <definedName name="_24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259"}</definedName>
    <definedName name="_24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258"}</definedName>
    <definedName name="_24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257"}</definedName>
    <definedName name="_24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256"}</definedName>
    <definedName name="_2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255"}</definedName>
    <definedName name="_24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254"}</definedName>
    <definedName name="_24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253"}</definedName>
    <definedName name="_24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252"}</definedName>
    <definedName name="_24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251"}</definedName>
    <definedName name="_24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250"}</definedName>
    <definedName name="_24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249"}</definedName>
    <definedName name="_24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248"}</definedName>
    <definedName name="_24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247"}</definedName>
    <definedName name="_24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246"}</definedName>
    <definedName name="_2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245"}</definedName>
    <definedName name="_24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244"}</definedName>
    <definedName name="_24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243"}</definedName>
    <definedName name="_24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242"}</definedName>
    <definedName name="_24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241"}</definedName>
    <definedName name="_24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240"}</definedName>
    <definedName name="_24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239"}</definedName>
    <definedName name="_24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238"}</definedName>
    <definedName name="_24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237"}</definedName>
    <definedName name="_24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236"}</definedName>
    <definedName name="_2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235"}</definedName>
    <definedName name="_24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234"}</definedName>
    <definedName name="_24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233"}</definedName>
    <definedName name="_24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232"}</definedName>
    <definedName name="_24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231"}</definedName>
    <definedName name="_24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230"}</definedName>
    <definedName name="_24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229"}</definedName>
    <definedName name="_24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228"}</definedName>
    <definedName name="_24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227"}</definedName>
    <definedName name="_24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226"}</definedName>
    <definedName name="_2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225"}</definedName>
    <definedName name="_24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224"}</definedName>
    <definedName name="_24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223"}</definedName>
    <definedName name="_24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222"}</definedName>
    <definedName name="_24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221"}</definedName>
    <definedName name="_24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220"}</definedName>
    <definedName name="_24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219"}</definedName>
    <definedName name="_24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218"}</definedName>
    <definedName name="_24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217"}</definedName>
    <definedName name="_24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216"}</definedName>
    <definedName name="_2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215"}</definedName>
    <definedName name="_25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214"}</definedName>
    <definedName name="_25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213"}</definedName>
    <definedName name="_25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212"}</definedName>
    <definedName name="_25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211"}</definedName>
    <definedName name="_25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210"}</definedName>
    <definedName name="_25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209"}</definedName>
    <definedName name="_25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208"}</definedName>
    <definedName name="_25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207"}</definedName>
    <definedName name="_25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206"}</definedName>
    <definedName name="_2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205"}</definedName>
    <definedName name="_25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204"}</definedName>
    <definedName name="_25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203"}</definedName>
    <definedName name="_25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202"}</definedName>
    <definedName name="_25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201"}</definedName>
    <definedName name="_25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200"}</definedName>
    <definedName name="_25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199"}</definedName>
    <definedName name="_25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198"}</definedName>
    <definedName name="_25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197"}</definedName>
    <definedName name="_25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196"}</definedName>
    <definedName name="_2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195"}</definedName>
    <definedName name="_25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194"}</definedName>
    <definedName name="_25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193"}</definedName>
    <definedName name="_25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192"}</definedName>
    <definedName name="_25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191"}</definedName>
    <definedName name="_25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190"}</definedName>
    <definedName name="_25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189"}</definedName>
    <definedName name="_25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188"}</definedName>
    <definedName name="_25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187"}</definedName>
    <definedName name="_25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186"}</definedName>
    <definedName name="_2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185"}</definedName>
    <definedName name="_25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184"}</definedName>
    <definedName name="_25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183"}</definedName>
    <definedName name="_25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182"}</definedName>
    <definedName name="_25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181"}</definedName>
    <definedName name="_25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180"}</definedName>
    <definedName name="_25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179"}</definedName>
    <definedName name="_25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178"}</definedName>
    <definedName name="_25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177"}</definedName>
    <definedName name="_25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176"}</definedName>
    <definedName name="_2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175"}</definedName>
    <definedName name="_25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174"}</definedName>
    <definedName name="_25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173"}</definedName>
    <definedName name="_25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172"}</definedName>
    <definedName name="_25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171"}</definedName>
    <definedName name="_25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170"}</definedName>
    <definedName name="_25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169"}</definedName>
    <definedName name="_25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168"}</definedName>
    <definedName name="_25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167"}</definedName>
    <definedName name="_25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166"}</definedName>
    <definedName name="_2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165"}</definedName>
    <definedName name="_25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164"}</definedName>
    <definedName name="_25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163"}</definedName>
    <definedName name="_25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162"}</definedName>
    <definedName name="_25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161"}</definedName>
    <definedName name="_25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160"}</definedName>
    <definedName name="_25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159"}</definedName>
    <definedName name="_25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158"}</definedName>
    <definedName name="_25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157"}</definedName>
    <definedName name="_25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156"}</definedName>
    <definedName name="_2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155"}</definedName>
    <definedName name="_25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154"}</definedName>
    <definedName name="_25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153"}</definedName>
    <definedName name="_25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152"}</definedName>
    <definedName name="_25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151"}</definedName>
    <definedName name="_25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150"}</definedName>
    <definedName name="_25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149"}</definedName>
    <definedName name="_25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148"}</definedName>
    <definedName name="_25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147"}</definedName>
    <definedName name="_25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146"}</definedName>
    <definedName name="_2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145"}</definedName>
    <definedName name="_25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144"}</definedName>
    <definedName name="_25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143"}</definedName>
    <definedName name="_25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142"}</definedName>
    <definedName name="_25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141"}</definedName>
    <definedName name="_25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140"}</definedName>
    <definedName name="_25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139"}</definedName>
    <definedName name="_25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138"}</definedName>
    <definedName name="_25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137"}</definedName>
    <definedName name="_25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136"}</definedName>
    <definedName name="_2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135"}</definedName>
    <definedName name="_25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134"}</definedName>
    <definedName name="_25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133"}</definedName>
    <definedName name="_25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132"}</definedName>
    <definedName name="_25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131"}</definedName>
    <definedName name="_25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130"}</definedName>
    <definedName name="_25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129"}</definedName>
    <definedName name="_25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128"}</definedName>
    <definedName name="_25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127"}</definedName>
    <definedName name="_25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126"}</definedName>
    <definedName name="_2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125"}</definedName>
    <definedName name="_25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124"}</definedName>
    <definedName name="_25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123"}</definedName>
    <definedName name="_25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122"}</definedName>
    <definedName name="_25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121"}</definedName>
    <definedName name="_25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120"}</definedName>
    <definedName name="_25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119"}</definedName>
    <definedName name="_25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118"}</definedName>
    <definedName name="_25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117"}</definedName>
    <definedName name="_25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116"}</definedName>
    <definedName name="_2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115"}</definedName>
    <definedName name="_26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114"}</definedName>
    <definedName name="_26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113"}</definedName>
    <definedName name="_26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112"}</definedName>
    <definedName name="_26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111"}</definedName>
    <definedName name="_26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110"}</definedName>
    <definedName name="_26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109"}</definedName>
    <definedName name="_26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108"}</definedName>
    <definedName name="_26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107"}</definedName>
    <definedName name="_26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106"}</definedName>
    <definedName name="_2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105"}</definedName>
    <definedName name="_26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104"}</definedName>
    <definedName name="_26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103"}</definedName>
    <definedName name="_26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102"}</definedName>
    <definedName name="_26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101"}</definedName>
    <definedName name="_26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100"}</definedName>
    <definedName name="_26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99"}</definedName>
    <definedName name="_26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98"}</definedName>
    <definedName name="_26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97"}</definedName>
    <definedName name="_26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96"}</definedName>
    <definedName name="_2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95"}</definedName>
    <definedName name="_26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94"}</definedName>
    <definedName name="_26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93"}</definedName>
    <definedName name="_26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92"}</definedName>
    <definedName name="_26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91"}</definedName>
    <definedName name="_26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90"}</definedName>
    <definedName name="_26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89"}</definedName>
    <definedName name="_26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88"}</definedName>
    <definedName name="_26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87"}</definedName>
    <definedName name="_26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86"}</definedName>
    <definedName name="_2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85"}</definedName>
    <definedName name="_26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84"}</definedName>
    <definedName name="_26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83"}</definedName>
    <definedName name="_26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82"}</definedName>
    <definedName name="_26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81"}</definedName>
    <definedName name="_26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80"}</definedName>
    <definedName name="_26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79"}</definedName>
    <definedName name="_26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78"}</definedName>
    <definedName name="_26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77"}</definedName>
    <definedName name="_26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76"}</definedName>
    <definedName name="_2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75"}</definedName>
    <definedName name="_26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74"}</definedName>
    <definedName name="_26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73"}</definedName>
    <definedName name="_26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72"}</definedName>
    <definedName name="_26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71"}</definedName>
    <definedName name="_26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70"}</definedName>
    <definedName name="_26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69"}</definedName>
    <definedName name="_26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68"}</definedName>
    <definedName name="_26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67"}</definedName>
    <definedName name="_26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66"}</definedName>
    <definedName name="_2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65"}</definedName>
    <definedName name="_26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64"}</definedName>
    <definedName name="_26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63"}</definedName>
    <definedName name="_26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62"}</definedName>
    <definedName name="_26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61"}</definedName>
    <definedName name="_26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60"}</definedName>
    <definedName name="_26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59"}</definedName>
    <definedName name="_26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58"}</definedName>
    <definedName name="_26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57"}</definedName>
    <definedName name="_26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56"}</definedName>
    <definedName name="_2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55"}</definedName>
    <definedName name="_26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54"}</definedName>
    <definedName name="_26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53"}</definedName>
    <definedName name="_26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52"}</definedName>
    <definedName name="_26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51"}</definedName>
    <definedName name="_26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50"}</definedName>
    <definedName name="_26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49"}</definedName>
    <definedName name="_26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48"}</definedName>
    <definedName name="_26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47"}</definedName>
    <definedName name="_26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46"}</definedName>
    <definedName name="_2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45"}</definedName>
    <definedName name="_26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44"}</definedName>
    <definedName name="_26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43"}</definedName>
    <definedName name="_26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42"}</definedName>
    <definedName name="_26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41"}</definedName>
    <definedName name="_26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40"}</definedName>
    <definedName name="_26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39"}</definedName>
    <definedName name="_26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38"}</definedName>
    <definedName name="_26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37"}</definedName>
    <definedName name="_26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36"}</definedName>
    <definedName name="_2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35"}</definedName>
    <definedName name="_26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34"}</definedName>
    <definedName name="_26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33"}</definedName>
    <definedName name="_26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definedName>
    <definedName name="_26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definedName>
    <definedName name="_26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definedName>
    <definedName name="_26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definedName>
    <definedName name="_26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definedName>
    <definedName name="_26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definedName>
    <definedName name="_26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definedName>
    <definedName name="_2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definedName>
    <definedName name="_26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definedName>
    <definedName name="_26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definedName>
    <definedName name="_26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definedName>
    <definedName name="_26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definedName>
    <definedName name="_26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definedName>
    <definedName name="_26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definedName>
    <definedName name="_26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definedName>
    <definedName name="_26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definedName>
    <definedName name="_26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definedName>
    <definedName name="_27__123Graph_DCHART_8A" hidden="1">#REF!</definedName>
    <definedName name="_27__123Graph_ECHART_21A" hidden="1">[4]SHELL!#REF!</definedName>
    <definedName name="_2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definedName>
    <definedName name="_27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definedName>
    <definedName name="_27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definedName>
    <definedName name="_27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definedName>
    <definedName name="_27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definedName>
    <definedName name="_27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definedName>
    <definedName name="_27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definedName>
    <definedName name="_27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definedName>
    <definedName name="_27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definedName>
    <definedName name="_27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definedName>
    <definedName name="_2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definedName>
    <definedName name="_27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definedName>
    <definedName name="_27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definedName>
    <definedName name="_27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definedName>
    <definedName name="_27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definedName>
    <definedName name="_27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326"}</definedName>
    <definedName name="_27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325"}</definedName>
    <definedName name="_27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324"}</definedName>
    <definedName name="_27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323"}</definedName>
    <definedName name="_27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322"}</definedName>
    <definedName name="_2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321"}</definedName>
    <definedName name="_27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320"}</definedName>
    <definedName name="_27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319"}</definedName>
    <definedName name="_27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318"}</definedName>
    <definedName name="_27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317"}</definedName>
    <definedName name="_27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316"}</definedName>
    <definedName name="_27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315"}</definedName>
    <definedName name="_27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314"}</definedName>
    <definedName name="_27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313"}</definedName>
    <definedName name="_27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312"}</definedName>
    <definedName name="_2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311"}</definedName>
    <definedName name="_27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310"}</definedName>
    <definedName name="_27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309"}</definedName>
    <definedName name="_27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308"}</definedName>
    <definedName name="_27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307"}</definedName>
    <definedName name="_27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306"}</definedName>
    <definedName name="_27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305"}</definedName>
    <definedName name="_27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304"}</definedName>
    <definedName name="_27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303"}</definedName>
    <definedName name="_27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302"}</definedName>
    <definedName name="_2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301"}</definedName>
    <definedName name="_27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300"}</definedName>
    <definedName name="_27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299"}</definedName>
    <definedName name="_27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298"}</definedName>
    <definedName name="_27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297"}</definedName>
    <definedName name="_27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296"}</definedName>
    <definedName name="_27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295"}</definedName>
    <definedName name="_27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294"}</definedName>
    <definedName name="_27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293"}</definedName>
    <definedName name="_27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292"}</definedName>
    <definedName name="_2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291"}</definedName>
    <definedName name="_27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290"}</definedName>
    <definedName name="_27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289"}</definedName>
    <definedName name="_27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288"}</definedName>
    <definedName name="_27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287"}</definedName>
    <definedName name="_27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286"}</definedName>
    <definedName name="_27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285"}</definedName>
    <definedName name="_27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284"}</definedName>
    <definedName name="_27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283"}</definedName>
    <definedName name="_27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282"}</definedName>
    <definedName name="_2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281"}</definedName>
    <definedName name="_27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280"}</definedName>
    <definedName name="_27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279"}</definedName>
    <definedName name="_27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278"}</definedName>
    <definedName name="_27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277"}</definedName>
    <definedName name="_27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276"}</definedName>
    <definedName name="_27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275"}</definedName>
    <definedName name="_27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274"}</definedName>
    <definedName name="_27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273"}</definedName>
    <definedName name="_27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272"}</definedName>
    <definedName name="_2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271"}</definedName>
    <definedName name="_27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270"}</definedName>
    <definedName name="_27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269"}</definedName>
    <definedName name="_27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268"}</definedName>
    <definedName name="_27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267"}</definedName>
    <definedName name="_27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266"}</definedName>
    <definedName name="_27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265"}</definedName>
    <definedName name="_27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264"}</definedName>
    <definedName name="_27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263"}</definedName>
    <definedName name="_27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262"}</definedName>
    <definedName name="_2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261"}</definedName>
    <definedName name="_27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260"}</definedName>
    <definedName name="_27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259"}</definedName>
    <definedName name="_27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258"}</definedName>
    <definedName name="_27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257"}</definedName>
    <definedName name="_27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256"}</definedName>
    <definedName name="_27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255"}</definedName>
    <definedName name="_27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254"}</definedName>
    <definedName name="_27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253"}</definedName>
    <definedName name="_27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252"}</definedName>
    <definedName name="_2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251"}</definedName>
    <definedName name="_27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250"}</definedName>
    <definedName name="_27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249"}</definedName>
    <definedName name="_27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248"}</definedName>
    <definedName name="_27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247"}</definedName>
    <definedName name="_27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246"}</definedName>
    <definedName name="_27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245"}</definedName>
    <definedName name="_27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244"}</definedName>
    <definedName name="_27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243"}</definedName>
    <definedName name="_27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242"}</definedName>
    <definedName name="_2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241"}</definedName>
    <definedName name="_28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240"}</definedName>
    <definedName name="_28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239"}</definedName>
    <definedName name="_28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238"}</definedName>
    <definedName name="_28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237"}</definedName>
    <definedName name="_28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236"}</definedName>
    <definedName name="_28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235"}</definedName>
    <definedName name="_28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234"}</definedName>
    <definedName name="_28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233"}</definedName>
    <definedName name="_28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232"}</definedName>
    <definedName name="_2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231"}</definedName>
    <definedName name="_28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230"}</definedName>
    <definedName name="_28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229"}</definedName>
    <definedName name="_28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228"}</definedName>
    <definedName name="_28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227"}</definedName>
    <definedName name="_28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226"}</definedName>
    <definedName name="_28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225"}</definedName>
    <definedName name="_28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224"}</definedName>
    <definedName name="_28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223"}</definedName>
    <definedName name="_28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222"}</definedName>
    <definedName name="_2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221"}</definedName>
    <definedName name="_28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220"}</definedName>
    <definedName name="_28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219"}</definedName>
    <definedName name="_28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218"}</definedName>
    <definedName name="_28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217"}</definedName>
    <definedName name="_28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216"}</definedName>
    <definedName name="_28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215"}</definedName>
    <definedName name="_28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214"}</definedName>
    <definedName name="_28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213"}</definedName>
    <definedName name="_28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212"}</definedName>
    <definedName name="_2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211"}</definedName>
    <definedName name="_28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210"}</definedName>
    <definedName name="_28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209"}</definedName>
    <definedName name="_28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208"}</definedName>
    <definedName name="_28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207"}</definedName>
    <definedName name="_28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206"}</definedName>
    <definedName name="_28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205"}</definedName>
    <definedName name="_28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204"}</definedName>
    <definedName name="_28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203"}</definedName>
    <definedName name="_28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202"}</definedName>
    <definedName name="_2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201"}</definedName>
    <definedName name="_28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200"}</definedName>
    <definedName name="_28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199"}</definedName>
    <definedName name="_28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198"}</definedName>
    <definedName name="_28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197"}</definedName>
    <definedName name="_28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196"}</definedName>
    <definedName name="_28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195"}</definedName>
    <definedName name="_28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194"}</definedName>
    <definedName name="_28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193"}</definedName>
    <definedName name="_28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192"}</definedName>
    <definedName name="_2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191"}</definedName>
    <definedName name="_28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190"}</definedName>
    <definedName name="_28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189"}</definedName>
    <definedName name="_28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188"}</definedName>
    <definedName name="_28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187"}</definedName>
    <definedName name="_28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186"}</definedName>
    <definedName name="_28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185"}</definedName>
    <definedName name="_28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184"}</definedName>
    <definedName name="_28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183"}</definedName>
    <definedName name="_28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182"}</definedName>
    <definedName name="_2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181"}</definedName>
    <definedName name="_28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180"}</definedName>
    <definedName name="_28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179"}</definedName>
    <definedName name="_28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178"}</definedName>
    <definedName name="_28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177"}</definedName>
    <definedName name="_28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176"}</definedName>
    <definedName name="_28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175"}</definedName>
    <definedName name="_28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174"}</definedName>
    <definedName name="_28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173"}</definedName>
    <definedName name="_28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172"}</definedName>
    <definedName name="_2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171"}</definedName>
    <definedName name="_28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170"}</definedName>
    <definedName name="_28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169"}</definedName>
    <definedName name="_28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168"}</definedName>
    <definedName name="_28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167"}</definedName>
    <definedName name="_28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166"}</definedName>
    <definedName name="_28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165"}</definedName>
    <definedName name="_28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164"}</definedName>
    <definedName name="_28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163"}</definedName>
    <definedName name="_28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162"}</definedName>
    <definedName name="_2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161"}</definedName>
    <definedName name="_28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160"}</definedName>
    <definedName name="_28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159"}</definedName>
    <definedName name="_28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158"}</definedName>
    <definedName name="_28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157"}</definedName>
    <definedName name="_28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156"}</definedName>
    <definedName name="_28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155"}</definedName>
    <definedName name="_28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154"}</definedName>
    <definedName name="_28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153"}</definedName>
    <definedName name="_28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152"}</definedName>
    <definedName name="_2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151"}</definedName>
    <definedName name="_28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150"}</definedName>
    <definedName name="_28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149"}</definedName>
    <definedName name="_28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148"}</definedName>
    <definedName name="_28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147"}</definedName>
    <definedName name="_28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146"}</definedName>
    <definedName name="_28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145"}</definedName>
    <definedName name="_28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144"}</definedName>
    <definedName name="_28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143"}</definedName>
    <definedName name="_28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142"}</definedName>
    <definedName name="_2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141"}</definedName>
    <definedName name="_29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140"}</definedName>
    <definedName name="_29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139"}</definedName>
    <definedName name="_29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138"}</definedName>
    <definedName name="_29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137"}</definedName>
    <definedName name="_29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136"}</definedName>
    <definedName name="_29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135"}</definedName>
    <definedName name="_29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134"}</definedName>
    <definedName name="_29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133"}</definedName>
    <definedName name="_29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132"}</definedName>
    <definedName name="_2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131"}</definedName>
    <definedName name="_29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130"}</definedName>
    <definedName name="_29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129"}</definedName>
    <definedName name="_29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128"}</definedName>
    <definedName name="_29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127"}</definedName>
    <definedName name="_29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126"}</definedName>
    <definedName name="_29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125"}</definedName>
    <definedName name="_29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124"}</definedName>
    <definedName name="_29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123"}</definedName>
    <definedName name="_29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122"}</definedName>
    <definedName name="_2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121"}</definedName>
    <definedName name="_29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120"}</definedName>
    <definedName name="_29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119"}</definedName>
    <definedName name="_29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118"}</definedName>
    <definedName name="_29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117"}</definedName>
    <definedName name="_29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116"}</definedName>
    <definedName name="_29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115"}</definedName>
    <definedName name="_29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114"}</definedName>
    <definedName name="_29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113"}</definedName>
    <definedName name="_29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112"}</definedName>
    <definedName name="_2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111"}</definedName>
    <definedName name="_29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110"}</definedName>
    <definedName name="_29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109"}</definedName>
    <definedName name="_29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108"}</definedName>
    <definedName name="_29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107"}</definedName>
    <definedName name="_29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106"}</definedName>
    <definedName name="_29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105"}</definedName>
    <definedName name="_29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104"}</definedName>
    <definedName name="_29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103"}</definedName>
    <definedName name="_29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102"}</definedName>
    <definedName name="_2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101"}</definedName>
    <definedName name="_29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100"}</definedName>
    <definedName name="_29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99"}</definedName>
    <definedName name="_29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98"}</definedName>
    <definedName name="_29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97"}</definedName>
    <definedName name="_29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96"}</definedName>
    <definedName name="_29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95"}</definedName>
    <definedName name="_29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94"}</definedName>
    <definedName name="_29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93"}</definedName>
    <definedName name="_29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92"}</definedName>
    <definedName name="_2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91"}</definedName>
    <definedName name="_29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90"}</definedName>
    <definedName name="_29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89"}</definedName>
    <definedName name="_29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88"}</definedName>
    <definedName name="_29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87"}</definedName>
    <definedName name="_29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86"}</definedName>
    <definedName name="_29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85"}</definedName>
    <definedName name="_29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84"}</definedName>
    <definedName name="_29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83"}</definedName>
    <definedName name="_29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82"}</definedName>
    <definedName name="_2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81"}</definedName>
    <definedName name="_29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80"}</definedName>
    <definedName name="_29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79"}</definedName>
    <definedName name="_29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78"}</definedName>
    <definedName name="_29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77"}</definedName>
    <definedName name="_29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76"}</definedName>
    <definedName name="_29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75"}</definedName>
    <definedName name="_29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74"}</definedName>
    <definedName name="_29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73"}</definedName>
    <definedName name="_29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72"}</definedName>
    <definedName name="_2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71"}</definedName>
    <definedName name="_29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70"}</definedName>
    <definedName name="_29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69"}</definedName>
    <definedName name="_29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68"}</definedName>
    <definedName name="_29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67"}</definedName>
    <definedName name="_29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66"}</definedName>
    <definedName name="_29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65"}</definedName>
    <definedName name="_29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64"}</definedName>
    <definedName name="_29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63"}</definedName>
    <definedName name="_29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62"}</definedName>
    <definedName name="_2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61"}</definedName>
    <definedName name="_29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60"}</definedName>
    <definedName name="_29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59"}</definedName>
    <definedName name="_29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58"}</definedName>
    <definedName name="_29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57"}</definedName>
    <definedName name="_29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56"}</definedName>
    <definedName name="_29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55"}</definedName>
    <definedName name="_29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54"}</definedName>
    <definedName name="_29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53"}</definedName>
    <definedName name="_29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52"}</definedName>
    <definedName name="_2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51"}</definedName>
    <definedName name="_29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50"}</definedName>
    <definedName name="_29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49"}</definedName>
    <definedName name="_29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48"}</definedName>
    <definedName name="_29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47"}</definedName>
    <definedName name="_29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46"}</definedName>
    <definedName name="_29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45"}</definedName>
    <definedName name="_29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44"}</definedName>
    <definedName name="_29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43"}</definedName>
    <definedName name="_29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42"}</definedName>
    <definedName name="_3__123Graph_ACHART_21A" hidden="1">[4]SHELL!#REF!</definedName>
    <definedName name="_3__123Graph_ACHART_3" localSheetId="1" hidden="1">[2]AnnualData!#REF!</definedName>
    <definedName name="_3__123Graph_ACHART_3" hidden="1">[2]AnnualData!#REF!</definedName>
    <definedName name="_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0__123Graph_ECHART_21A" hidden="1">#REF!</definedName>
    <definedName name="_30__123Graph_ECHART_8A" hidden="1">[4]SHELL!#REF!</definedName>
    <definedName name="_3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41"}</definedName>
    <definedName name="_30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40"}</definedName>
    <definedName name="_30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39"}</definedName>
    <definedName name="_30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38"}</definedName>
    <definedName name="_30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37"}</definedName>
    <definedName name="_30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36"}</definedName>
    <definedName name="_30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35"}</definedName>
    <definedName name="_30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34"}</definedName>
    <definedName name="_30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33"}</definedName>
    <definedName name="_30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definedName>
    <definedName name="_3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definedName>
    <definedName name="_30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definedName>
    <definedName name="_30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definedName>
    <definedName name="_30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definedName>
    <definedName name="_30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definedName>
    <definedName name="_30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definedName>
    <definedName name="_30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definedName>
    <definedName name="_30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definedName>
    <definedName name="_30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definedName>
    <definedName name="_30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definedName>
    <definedName name="_3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definedName>
    <definedName name="_30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definedName>
    <definedName name="_30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definedName>
    <definedName name="_30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definedName>
    <definedName name="_30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definedName>
    <definedName name="_30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definedName>
    <definedName name="_30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definedName>
    <definedName name="_30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definedName>
    <definedName name="_30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definedName>
    <definedName name="_30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definedName>
    <definedName name="_3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definedName>
    <definedName name="_30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definedName>
    <definedName name="_30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definedName>
    <definedName name="_30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definedName>
    <definedName name="_30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definedName>
    <definedName name="_30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definedName>
    <definedName name="_30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definedName>
    <definedName name="_30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definedName>
    <definedName name="_30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definedName>
    <definedName name="_30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definedName>
    <definedName name="_3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definedName>
    <definedName name="_30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0"}</definedName>
    <definedName name="_30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326"}</definedName>
    <definedName name="_30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325"}</definedName>
    <definedName name="_30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324"}</definedName>
    <definedName name="_30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323"}</definedName>
    <definedName name="_30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322"}</definedName>
    <definedName name="_30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321"}</definedName>
    <definedName name="_30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320"}</definedName>
    <definedName name="_30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319"}</definedName>
    <definedName name="_3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318"}</definedName>
    <definedName name="_30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317"}</definedName>
    <definedName name="_30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316"}</definedName>
    <definedName name="_30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315"}</definedName>
    <definedName name="_30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314"}</definedName>
    <definedName name="_30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313"}</definedName>
    <definedName name="_30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312"}</definedName>
    <definedName name="_30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311"}</definedName>
    <definedName name="_30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310"}</definedName>
    <definedName name="_30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309"}</definedName>
    <definedName name="_3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308"}</definedName>
    <definedName name="_30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307"}</definedName>
    <definedName name="_30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306"}</definedName>
    <definedName name="_30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305"}</definedName>
    <definedName name="_30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304"}</definedName>
    <definedName name="_30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303"}</definedName>
    <definedName name="_30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302"}</definedName>
    <definedName name="_30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301"}</definedName>
    <definedName name="_30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300"}</definedName>
    <definedName name="_30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299"}</definedName>
    <definedName name="_3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298"}</definedName>
    <definedName name="_30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297"}</definedName>
    <definedName name="_30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296"}</definedName>
    <definedName name="_30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295"}</definedName>
    <definedName name="_30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294"}</definedName>
    <definedName name="_30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293"}</definedName>
    <definedName name="_30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292"}</definedName>
    <definedName name="_30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291"}</definedName>
    <definedName name="_30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290"}</definedName>
    <definedName name="_30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289"}</definedName>
    <definedName name="_3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288"}</definedName>
    <definedName name="_30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287"}</definedName>
    <definedName name="_30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286"}</definedName>
    <definedName name="_30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285"}</definedName>
    <definedName name="_30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284"}</definedName>
    <definedName name="_30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283"}</definedName>
    <definedName name="_30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282"}</definedName>
    <definedName name="_30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281"}</definedName>
    <definedName name="_30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280"}</definedName>
    <definedName name="_30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279"}</definedName>
    <definedName name="_3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278"}</definedName>
    <definedName name="_30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277"}</definedName>
    <definedName name="_30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276"}</definedName>
    <definedName name="_30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275"}</definedName>
    <definedName name="_30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274"}</definedName>
    <definedName name="_30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273"}</definedName>
    <definedName name="_30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272"}</definedName>
    <definedName name="_30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271"}</definedName>
    <definedName name="_30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270"}</definedName>
    <definedName name="_30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269"}</definedName>
    <definedName name="_3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268"}</definedName>
    <definedName name="_31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267"}</definedName>
    <definedName name="_31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266"}</definedName>
    <definedName name="_31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265"}</definedName>
    <definedName name="_31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264"}</definedName>
    <definedName name="_31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263"}</definedName>
    <definedName name="_31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262"}</definedName>
    <definedName name="_31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261"}</definedName>
    <definedName name="_31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260"}</definedName>
    <definedName name="_31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259"}</definedName>
    <definedName name="_3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258"}</definedName>
    <definedName name="_31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257"}</definedName>
    <definedName name="_31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256"}</definedName>
    <definedName name="_31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255"}</definedName>
    <definedName name="_31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254"}</definedName>
    <definedName name="_31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253"}</definedName>
    <definedName name="_31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252"}</definedName>
    <definedName name="_31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251"}</definedName>
    <definedName name="_31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250"}</definedName>
    <definedName name="_31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249"}</definedName>
    <definedName name="_3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248"}</definedName>
    <definedName name="_31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247"}</definedName>
    <definedName name="_31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246"}</definedName>
    <definedName name="_31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245"}</definedName>
    <definedName name="_31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244"}</definedName>
    <definedName name="_31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243"}</definedName>
    <definedName name="_31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242"}</definedName>
    <definedName name="_31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241"}</definedName>
    <definedName name="_31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240"}</definedName>
    <definedName name="_31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239"}</definedName>
    <definedName name="_3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238"}</definedName>
    <definedName name="_31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237"}</definedName>
    <definedName name="_31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236"}</definedName>
    <definedName name="_31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235"}</definedName>
    <definedName name="_31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234"}</definedName>
    <definedName name="_31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233"}</definedName>
    <definedName name="_31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232"}</definedName>
    <definedName name="_31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231"}</definedName>
    <definedName name="_31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230"}</definedName>
    <definedName name="_31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229"}</definedName>
    <definedName name="_3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228"}</definedName>
    <definedName name="_31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227"}</definedName>
    <definedName name="_31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226"}</definedName>
    <definedName name="_31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225"}</definedName>
    <definedName name="_31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224"}</definedName>
    <definedName name="_31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223"}</definedName>
    <definedName name="_31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222"}</definedName>
    <definedName name="_31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221"}</definedName>
    <definedName name="_31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220"}</definedName>
    <definedName name="_31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219"}</definedName>
    <definedName name="_3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218"}</definedName>
    <definedName name="_31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217"}</definedName>
    <definedName name="_31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216"}</definedName>
    <definedName name="_31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215"}</definedName>
    <definedName name="_31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214"}</definedName>
    <definedName name="_31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213"}</definedName>
    <definedName name="_31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212"}</definedName>
    <definedName name="_31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211"}</definedName>
    <definedName name="_31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210"}</definedName>
    <definedName name="_31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209"}</definedName>
    <definedName name="_3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208"}</definedName>
    <definedName name="_31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207"}</definedName>
    <definedName name="_31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206"}</definedName>
    <definedName name="_31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205"}</definedName>
    <definedName name="_31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204"}</definedName>
    <definedName name="_31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203"}</definedName>
    <definedName name="_31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202"}</definedName>
    <definedName name="_31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201"}</definedName>
    <definedName name="_31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200"}</definedName>
    <definedName name="_31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199"}</definedName>
    <definedName name="_3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198"}</definedName>
    <definedName name="_31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197"}</definedName>
    <definedName name="_31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196"}</definedName>
    <definedName name="_31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195"}</definedName>
    <definedName name="_31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194"}</definedName>
    <definedName name="_31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193"}</definedName>
    <definedName name="_31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192"}</definedName>
    <definedName name="_31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191"}</definedName>
    <definedName name="_31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190"}</definedName>
    <definedName name="_31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189"}</definedName>
    <definedName name="_3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188"}</definedName>
    <definedName name="_31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187"}</definedName>
    <definedName name="_31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186"}</definedName>
    <definedName name="_31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185"}</definedName>
    <definedName name="_31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184"}</definedName>
    <definedName name="_31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183"}</definedName>
    <definedName name="_31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182"}</definedName>
    <definedName name="_31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181"}</definedName>
    <definedName name="_31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180"}</definedName>
    <definedName name="_31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179"}</definedName>
    <definedName name="_3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178"}</definedName>
    <definedName name="_31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177"}</definedName>
    <definedName name="_31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176"}</definedName>
    <definedName name="_31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175"}</definedName>
    <definedName name="_31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174"}</definedName>
    <definedName name="_31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173"}</definedName>
    <definedName name="_31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172"}</definedName>
    <definedName name="_31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171"}</definedName>
    <definedName name="_31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170"}</definedName>
    <definedName name="_31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169"}</definedName>
    <definedName name="_3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168"}</definedName>
    <definedName name="_32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167"}</definedName>
    <definedName name="_32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166"}</definedName>
    <definedName name="_32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165"}</definedName>
    <definedName name="_32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164"}</definedName>
    <definedName name="_32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163"}</definedName>
    <definedName name="_32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162"}</definedName>
    <definedName name="_32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161"}</definedName>
    <definedName name="_32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160"}</definedName>
    <definedName name="_32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159"}</definedName>
    <definedName name="_3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158"}</definedName>
    <definedName name="_32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157"}</definedName>
    <definedName name="_32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156"}</definedName>
    <definedName name="_32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155"}</definedName>
    <definedName name="_32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154"}</definedName>
    <definedName name="_32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153"}</definedName>
    <definedName name="_32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152"}</definedName>
    <definedName name="_32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151"}</definedName>
    <definedName name="_32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150"}</definedName>
    <definedName name="_32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149"}</definedName>
    <definedName name="_3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148"}</definedName>
    <definedName name="_32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147"}</definedName>
    <definedName name="_32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146"}</definedName>
    <definedName name="_32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145"}</definedName>
    <definedName name="_32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144"}</definedName>
    <definedName name="_32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143"}</definedName>
    <definedName name="_32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142"}</definedName>
    <definedName name="_32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141"}</definedName>
    <definedName name="_32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140"}</definedName>
    <definedName name="_32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139"}</definedName>
    <definedName name="_3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138"}</definedName>
    <definedName name="_32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137"}</definedName>
    <definedName name="_32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136"}</definedName>
    <definedName name="_32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135"}</definedName>
    <definedName name="_32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134"}</definedName>
    <definedName name="_32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133"}</definedName>
    <definedName name="_32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132"}</definedName>
    <definedName name="_32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131"}</definedName>
    <definedName name="_32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130"}</definedName>
    <definedName name="_32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129"}</definedName>
    <definedName name="_3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128"}</definedName>
    <definedName name="_32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127"}</definedName>
    <definedName name="_32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126"}</definedName>
    <definedName name="_32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125"}</definedName>
    <definedName name="_32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124"}</definedName>
    <definedName name="_32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123"}</definedName>
    <definedName name="_32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122"}</definedName>
    <definedName name="_32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121"}</definedName>
    <definedName name="_32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120"}</definedName>
    <definedName name="_32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119"}</definedName>
    <definedName name="_3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118"}</definedName>
    <definedName name="_32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117"}</definedName>
    <definedName name="_32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116"}</definedName>
    <definedName name="_32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115"}</definedName>
    <definedName name="_32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114"}</definedName>
    <definedName name="_32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113"}</definedName>
    <definedName name="_32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112"}</definedName>
    <definedName name="_32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111"}</definedName>
    <definedName name="_32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110"}</definedName>
    <definedName name="_32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109"}</definedName>
    <definedName name="_3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108"}</definedName>
    <definedName name="_32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107"}</definedName>
    <definedName name="_32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106"}</definedName>
    <definedName name="_32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105"}</definedName>
    <definedName name="_32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104"}</definedName>
    <definedName name="_32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103"}</definedName>
    <definedName name="_32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102"}</definedName>
    <definedName name="_32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101"}</definedName>
    <definedName name="_32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100"}</definedName>
    <definedName name="_32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99"}</definedName>
    <definedName name="_3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98"}</definedName>
    <definedName name="_32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97"}</definedName>
    <definedName name="_32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96"}</definedName>
    <definedName name="_32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95"}</definedName>
    <definedName name="_32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94"}</definedName>
    <definedName name="_32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93"}</definedName>
    <definedName name="_32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92"}</definedName>
    <definedName name="_32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91"}</definedName>
    <definedName name="_32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90"}</definedName>
    <definedName name="_32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89"}</definedName>
    <definedName name="_3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88"}</definedName>
    <definedName name="_32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87"}</definedName>
    <definedName name="_32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86"}</definedName>
    <definedName name="_32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85"}</definedName>
    <definedName name="_32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84"}</definedName>
    <definedName name="_32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83"}</definedName>
    <definedName name="_32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82"}</definedName>
    <definedName name="_32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81"}</definedName>
    <definedName name="_32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80"}</definedName>
    <definedName name="_32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79"}</definedName>
    <definedName name="_3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78"}</definedName>
    <definedName name="_32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77"}</definedName>
    <definedName name="_32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76"}</definedName>
    <definedName name="_32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75"}</definedName>
    <definedName name="_32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74"}</definedName>
    <definedName name="_32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73"}</definedName>
    <definedName name="_32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72"}</definedName>
    <definedName name="_32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71"}</definedName>
    <definedName name="_32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70"}</definedName>
    <definedName name="_32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69"}</definedName>
    <definedName name="_33__123Graph_ECHART_8A" hidden="1">#REF!</definedName>
    <definedName name="_33__123Graph_FCHART_21A" hidden="1">[4]SHELL!#REF!</definedName>
    <definedName name="_3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68"}</definedName>
    <definedName name="_33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67"}</definedName>
    <definedName name="_33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66"}</definedName>
    <definedName name="_33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65"}</definedName>
    <definedName name="_33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64"}</definedName>
    <definedName name="_33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63"}</definedName>
    <definedName name="_33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62"}</definedName>
    <definedName name="_33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61"}</definedName>
    <definedName name="_33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60"}</definedName>
    <definedName name="_33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59"}</definedName>
    <definedName name="_3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58"}</definedName>
    <definedName name="_33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57"}</definedName>
    <definedName name="_33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56"}</definedName>
    <definedName name="_33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55"}</definedName>
    <definedName name="_33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54"}</definedName>
    <definedName name="_33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53"}</definedName>
    <definedName name="_33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52"}</definedName>
    <definedName name="_33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51"}</definedName>
    <definedName name="_33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50"}</definedName>
    <definedName name="_33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49"}</definedName>
    <definedName name="_3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48"}</definedName>
    <definedName name="_33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47"}</definedName>
    <definedName name="_33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46"}</definedName>
    <definedName name="_33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45"}</definedName>
    <definedName name="_33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44"}</definedName>
    <definedName name="_33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43"}</definedName>
    <definedName name="_33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42"}</definedName>
    <definedName name="_33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41"}</definedName>
    <definedName name="_33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40"}</definedName>
    <definedName name="_33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39"}</definedName>
    <definedName name="_3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38"}</definedName>
    <definedName name="_33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37"}</definedName>
    <definedName name="_33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36"}</definedName>
    <definedName name="_33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35"}</definedName>
    <definedName name="_33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34"}</definedName>
    <definedName name="_33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33"}</definedName>
    <definedName name="_33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definedName>
    <definedName name="_33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definedName>
    <definedName name="_33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definedName>
    <definedName name="_33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definedName>
    <definedName name="_3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definedName>
    <definedName name="_33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definedName>
    <definedName name="_33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definedName>
    <definedName name="_33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definedName>
    <definedName name="_33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definedName>
    <definedName name="_33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definedName>
    <definedName name="_33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definedName>
    <definedName name="_33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definedName>
    <definedName name="_33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definedName>
    <definedName name="_33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definedName>
    <definedName name="_3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definedName>
    <definedName name="_33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definedName>
    <definedName name="_33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definedName>
    <definedName name="_33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definedName>
    <definedName name="_33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definedName>
    <definedName name="_33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definedName>
    <definedName name="_33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definedName>
    <definedName name="_33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definedName>
    <definedName name="_33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definedName>
    <definedName name="_33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definedName>
    <definedName name="_3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definedName>
    <definedName name="_33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definedName>
    <definedName name="_33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definedName>
    <definedName name="_33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definedName>
    <definedName name="_33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definedName>
    <definedName name="_33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definedName>
    <definedName name="_33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definedName>
    <definedName name="_33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definedName>
    <definedName name="_33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0"}</definedName>
    <definedName name="_33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326"}</definedName>
    <definedName name="_3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325"}</definedName>
    <definedName name="_33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324"}</definedName>
    <definedName name="_33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323"}</definedName>
    <definedName name="_33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322"}</definedName>
    <definedName name="_33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321"}</definedName>
    <definedName name="_33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320"}</definedName>
    <definedName name="_33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319"}</definedName>
    <definedName name="_33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318"}</definedName>
    <definedName name="_33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317"}</definedName>
    <definedName name="_33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316"}</definedName>
    <definedName name="_3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315"}</definedName>
    <definedName name="_33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314"}</definedName>
    <definedName name="_33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313"}</definedName>
    <definedName name="_33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312"}</definedName>
    <definedName name="_33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311"}</definedName>
    <definedName name="_33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310"}</definedName>
    <definedName name="_33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309"}</definedName>
    <definedName name="_33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308"}</definedName>
    <definedName name="_33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307"}</definedName>
    <definedName name="_33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306"}</definedName>
    <definedName name="_3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305"}</definedName>
    <definedName name="_33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304"}</definedName>
    <definedName name="_33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303"}</definedName>
    <definedName name="_33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302"}</definedName>
    <definedName name="_33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301"}</definedName>
    <definedName name="_33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300"}</definedName>
    <definedName name="_33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299"}</definedName>
    <definedName name="_33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298"}</definedName>
    <definedName name="_33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297"}</definedName>
    <definedName name="_33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296"}</definedName>
    <definedName name="_3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295"}</definedName>
    <definedName name="_34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294"}</definedName>
    <definedName name="_34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293"}</definedName>
    <definedName name="_34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292"}</definedName>
    <definedName name="_34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291"}</definedName>
    <definedName name="_34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290"}</definedName>
    <definedName name="_34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289"}</definedName>
    <definedName name="_34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288"}</definedName>
    <definedName name="_34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287"}</definedName>
    <definedName name="_34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286"}</definedName>
    <definedName name="_3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285"}</definedName>
    <definedName name="_34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284"}</definedName>
    <definedName name="_34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283"}</definedName>
    <definedName name="_34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282"}</definedName>
    <definedName name="_34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281"}</definedName>
    <definedName name="_34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280"}</definedName>
    <definedName name="_34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279"}</definedName>
    <definedName name="_34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278"}</definedName>
    <definedName name="_34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277"}</definedName>
    <definedName name="_34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276"}</definedName>
    <definedName name="_3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275"}</definedName>
    <definedName name="_34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274"}</definedName>
    <definedName name="_34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273"}</definedName>
    <definedName name="_34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272"}</definedName>
    <definedName name="_34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271"}</definedName>
    <definedName name="_34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270"}</definedName>
    <definedName name="_34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269"}</definedName>
    <definedName name="_34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268"}</definedName>
    <definedName name="_34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267"}</definedName>
    <definedName name="_34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266"}</definedName>
    <definedName name="_3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265"}</definedName>
    <definedName name="_34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264"}</definedName>
    <definedName name="_34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263"}</definedName>
    <definedName name="_34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262"}</definedName>
    <definedName name="_34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261"}</definedName>
    <definedName name="_34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260"}</definedName>
    <definedName name="_34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259"}</definedName>
    <definedName name="_34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258"}</definedName>
    <definedName name="_34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257"}</definedName>
    <definedName name="_34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256"}</definedName>
    <definedName name="_3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255"}</definedName>
    <definedName name="_34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254"}</definedName>
    <definedName name="_34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253"}</definedName>
    <definedName name="_34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252"}</definedName>
    <definedName name="_34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251"}</definedName>
    <definedName name="_34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250"}</definedName>
    <definedName name="_34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249"}</definedName>
    <definedName name="_34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248"}</definedName>
    <definedName name="_34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247"}</definedName>
    <definedName name="_34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246"}</definedName>
    <definedName name="_3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245"}</definedName>
    <definedName name="_34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244"}</definedName>
    <definedName name="_34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243"}</definedName>
    <definedName name="_34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242"}</definedName>
    <definedName name="_34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241"}</definedName>
    <definedName name="_34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240"}</definedName>
    <definedName name="_34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239"}</definedName>
    <definedName name="_34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238"}</definedName>
    <definedName name="_34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237"}</definedName>
    <definedName name="_34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236"}</definedName>
    <definedName name="_3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235"}</definedName>
    <definedName name="_34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234"}</definedName>
    <definedName name="_34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233"}</definedName>
    <definedName name="_34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232"}</definedName>
    <definedName name="_34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231"}</definedName>
    <definedName name="_34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230"}</definedName>
    <definedName name="_34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229"}</definedName>
    <definedName name="_34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228"}</definedName>
    <definedName name="_34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227"}</definedName>
    <definedName name="_34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226"}</definedName>
    <definedName name="_3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225"}</definedName>
    <definedName name="_34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224"}</definedName>
    <definedName name="_34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223"}</definedName>
    <definedName name="_34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222"}</definedName>
    <definedName name="_34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221"}</definedName>
    <definedName name="_34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220"}</definedName>
    <definedName name="_34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219"}</definedName>
    <definedName name="_34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218"}</definedName>
    <definedName name="_34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217"}</definedName>
    <definedName name="_34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216"}</definedName>
    <definedName name="_3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215"}</definedName>
    <definedName name="_34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214"}</definedName>
    <definedName name="_34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213"}</definedName>
    <definedName name="_34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212"}</definedName>
    <definedName name="_34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211"}</definedName>
    <definedName name="_34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210"}</definedName>
    <definedName name="_34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209"}</definedName>
    <definedName name="_34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208"}</definedName>
    <definedName name="_34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207"}</definedName>
    <definedName name="_34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206"}</definedName>
    <definedName name="_3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205"}</definedName>
    <definedName name="_34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204"}</definedName>
    <definedName name="_34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203"}</definedName>
    <definedName name="_34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202"}</definedName>
    <definedName name="_34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201"}</definedName>
    <definedName name="_34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200"}</definedName>
    <definedName name="_34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199"}</definedName>
    <definedName name="_34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198"}</definedName>
    <definedName name="_34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197"}</definedName>
    <definedName name="_34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196"}</definedName>
    <definedName name="_3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195"}</definedName>
    <definedName name="_35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194"}</definedName>
    <definedName name="_35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193"}</definedName>
    <definedName name="_35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192"}</definedName>
    <definedName name="_35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191"}</definedName>
    <definedName name="_35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190"}</definedName>
    <definedName name="_35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189"}</definedName>
    <definedName name="_35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188"}</definedName>
    <definedName name="_35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187"}</definedName>
    <definedName name="_35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186"}</definedName>
    <definedName name="_3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185"}</definedName>
    <definedName name="_35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184"}</definedName>
    <definedName name="_35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183"}</definedName>
    <definedName name="_35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182"}</definedName>
    <definedName name="_35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181"}</definedName>
    <definedName name="_35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180"}</definedName>
    <definedName name="_35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179"}</definedName>
    <definedName name="_35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178"}</definedName>
    <definedName name="_35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177"}</definedName>
    <definedName name="_35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176"}</definedName>
    <definedName name="_3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175"}</definedName>
    <definedName name="_35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174"}</definedName>
    <definedName name="_35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173"}</definedName>
    <definedName name="_35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172"}</definedName>
    <definedName name="_35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171"}</definedName>
    <definedName name="_35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170"}</definedName>
    <definedName name="_35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169"}</definedName>
    <definedName name="_35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168"}</definedName>
    <definedName name="_35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167"}</definedName>
    <definedName name="_35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166"}</definedName>
    <definedName name="_3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165"}</definedName>
    <definedName name="_35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164"}</definedName>
    <definedName name="_35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163"}</definedName>
    <definedName name="_35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162"}</definedName>
    <definedName name="_35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161"}</definedName>
    <definedName name="_35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160"}</definedName>
    <definedName name="_35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159"}</definedName>
    <definedName name="_35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158"}</definedName>
    <definedName name="_35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157"}</definedName>
    <definedName name="_35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156"}</definedName>
    <definedName name="_3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155"}</definedName>
    <definedName name="_35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154"}</definedName>
    <definedName name="_35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153"}</definedName>
    <definedName name="_35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152"}</definedName>
    <definedName name="_35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151"}</definedName>
    <definedName name="_35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150"}</definedName>
    <definedName name="_35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149"}</definedName>
    <definedName name="_35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148"}</definedName>
    <definedName name="_35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147"}</definedName>
    <definedName name="_35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146"}</definedName>
    <definedName name="_3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145"}</definedName>
    <definedName name="_35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144"}</definedName>
    <definedName name="_35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143"}</definedName>
    <definedName name="_35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142"}</definedName>
    <definedName name="_35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141"}</definedName>
    <definedName name="_35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140"}</definedName>
    <definedName name="_35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139"}</definedName>
    <definedName name="_35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138"}</definedName>
    <definedName name="_35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137"}</definedName>
    <definedName name="_35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136"}</definedName>
    <definedName name="_3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135"}</definedName>
    <definedName name="_35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134"}</definedName>
    <definedName name="_35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133"}</definedName>
    <definedName name="_35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132"}</definedName>
    <definedName name="_35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131"}</definedName>
    <definedName name="_35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130"}</definedName>
    <definedName name="_35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129"}</definedName>
    <definedName name="_35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128"}</definedName>
    <definedName name="_35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127"}</definedName>
    <definedName name="_35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126"}</definedName>
    <definedName name="_3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125"}</definedName>
    <definedName name="_35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124"}</definedName>
    <definedName name="_35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123"}</definedName>
    <definedName name="_35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122"}</definedName>
    <definedName name="_35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121"}</definedName>
    <definedName name="_35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120"}</definedName>
    <definedName name="_35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119"}</definedName>
    <definedName name="_35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118"}</definedName>
    <definedName name="_35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117"}</definedName>
    <definedName name="_35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116"}</definedName>
    <definedName name="_3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115"}</definedName>
    <definedName name="_35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114"}</definedName>
    <definedName name="_35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113"}</definedName>
    <definedName name="_35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112"}</definedName>
    <definedName name="_35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111"}</definedName>
    <definedName name="_35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110"}</definedName>
    <definedName name="_35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109"}</definedName>
    <definedName name="_35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108"}</definedName>
    <definedName name="_35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107"}</definedName>
    <definedName name="_35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106"}</definedName>
    <definedName name="_3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105"}</definedName>
    <definedName name="_35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104"}</definedName>
    <definedName name="_35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103"}</definedName>
    <definedName name="_35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102"}</definedName>
    <definedName name="_35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101"}</definedName>
    <definedName name="_35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100"}</definedName>
    <definedName name="_35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99"}</definedName>
    <definedName name="_35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98"}</definedName>
    <definedName name="_35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97"}</definedName>
    <definedName name="_35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96"}</definedName>
    <definedName name="_36__123Graph_FCHART_21A" hidden="1">#REF!</definedName>
    <definedName name="_36__123Graph_XCHART_21A" hidden="1">[4]SHELL!#REF!</definedName>
    <definedName name="_3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95"}</definedName>
    <definedName name="_36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94"}</definedName>
    <definedName name="_36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93"}</definedName>
    <definedName name="_36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92"}</definedName>
    <definedName name="_36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91"}</definedName>
    <definedName name="_36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90"}</definedName>
    <definedName name="_36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89"}</definedName>
    <definedName name="_36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88"}</definedName>
    <definedName name="_36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87"}</definedName>
    <definedName name="_36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86"}</definedName>
    <definedName name="_3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85"}</definedName>
    <definedName name="_36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84"}</definedName>
    <definedName name="_36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83"}</definedName>
    <definedName name="_36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82"}</definedName>
    <definedName name="_36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81"}</definedName>
    <definedName name="_36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80"}</definedName>
    <definedName name="_36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79"}</definedName>
    <definedName name="_36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78"}</definedName>
    <definedName name="_36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77"}</definedName>
    <definedName name="_36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76"}</definedName>
    <definedName name="_3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75"}</definedName>
    <definedName name="_36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74"}</definedName>
    <definedName name="_36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73"}</definedName>
    <definedName name="_36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72"}</definedName>
    <definedName name="_36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71"}</definedName>
    <definedName name="_36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70"}</definedName>
    <definedName name="_36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69"}</definedName>
    <definedName name="_36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68"}</definedName>
    <definedName name="_36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67"}</definedName>
    <definedName name="_36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66"}</definedName>
    <definedName name="_3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65"}</definedName>
    <definedName name="_36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64"}</definedName>
    <definedName name="_36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63"}</definedName>
    <definedName name="_36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62"}</definedName>
    <definedName name="_36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61"}</definedName>
    <definedName name="_36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60"}</definedName>
    <definedName name="_36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59"}</definedName>
    <definedName name="_36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58"}</definedName>
    <definedName name="_36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57"}</definedName>
    <definedName name="_36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56"}</definedName>
    <definedName name="_3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55"}</definedName>
    <definedName name="_36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54"}</definedName>
    <definedName name="_36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53"}</definedName>
    <definedName name="_36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52"}</definedName>
    <definedName name="_36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51"}</definedName>
    <definedName name="_36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50"}</definedName>
    <definedName name="_36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49"}</definedName>
    <definedName name="_36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48"}</definedName>
    <definedName name="_36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47"}</definedName>
    <definedName name="_36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46"}</definedName>
    <definedName name="_3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45"}</definedName>
    <definedName name="_36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44"}</definedName>
    <definedName name="_36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43"}</definedName>
    <definedName name="_36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42"}</definedName>
    <definedName name="_36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41"}</definedName>
    <definedName name="_36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40"}</definedName>
    <definedName name="_36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39"}</definedName>
    <definedName name="_36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38"}</definedName>
    <definedName name="_36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37"}</definedName>
    <definedName name="_36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36"}</definedName>
    <definedName name="_3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35"}</definedName>
    <definedName name="_36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34"}</definedName>
    <definedName name="_36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33"}</definedName>
    <definedName name="_36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definedName>
    <definedName name="_36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definedName>
    <definedName name="_36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definedName>
    <definedName name="_36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definedName>
    <definedName name="_36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definedName>
    <definedName name="_36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definedName>
    <definedName name="_36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definedName>
    <definedName name="_3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definedName>
    <definedName name="_36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definedName>
    <definedName name="_36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definedName>
    <definedName name="_36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definedName>
    <definedName name="_36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definedName>
    <definedName name="_36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definedName>
    <definedName name="_36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definedName>
    <definedName name="_36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definedName>
    <definedName name="_36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definedName>
    <definedName name="_36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definedName>
    <definedName name="_3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definedName>
    <definedName name="_36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definedName>
    <definedName name="_36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definedName>
    <definedName name="_36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definedName>
    <definedName name="_36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definedName>
    <definedName name="_36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definedName>
    <definedName name="_36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definedName>
    <definedName name="_36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definedName>
    <definedName name="_36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definedName>
    <definedName name="_36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definedName>
    <definedName name="_3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definedName>
    <definedName name="_36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definedName>
    <definedName name="_36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definedName>
    <definedName name="_36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definedName>
    <definedName name="_36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definedName>
    <definedName name="_36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0"}</definedName>
    <definedName name="_36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326"}</definedName>
    <definedName name="_36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325"}</definedName>
    <definedName name="_36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324"}</definedName>
    <definedName name="_36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323"}</definedName>
    <definedName name="_3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322"}</definedName>
    <definedName name="_37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321"}</definedName>
    <definedName name="_37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320"}</definedName>
    <definedName name="_37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319"}</definedName>
    <definedName name="_37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318"}</definedName>
    <definedName name="_37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317"}</definedName>
    <definedName name="_37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316"}</definedName>
    <definedName name="_37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315"}</definedName>
    <definedName name="_37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314"}</definedName>
    <definedName name="_37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313"}</definedName>
    <definedName name="_3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312"}</definedName>
    <definedName name="_37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311"}</definedName>
    <definedName name="_37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310"}</definedName>
    <definedName name="_37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309"}</definedName>
    <definedName name="_37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308"}</definedName>
    <definedName name="_37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307"}</definedName>
    <definedName name="_37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306"}</definedName>
    <definedName name="_37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305"}</definedName>
    <definedName name="_37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304"}</definedName>
    <definedName name="_37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303"}</definedName>
    <definedName name="_3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302"}</definedName>
    <definedName name="_37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301"}</definedName>
    <definedName name="_37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300"}</definedName>
    <definedName name="_37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299"}</definedName>
    <definedName name="_37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298"}</definedName>
    <definedName name="_37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297"}</definedName>
    <definedName name="_37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296"}</definedName>
    <definedName name="_37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295"}</definedName>
    <definedName name="_37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294"}</definedName>
    <definedName name="_37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293"}</definedName>
    <definedName name="_3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292"}</definedName>
    <definedName name="_37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291"}</definedName>
    <definedName name="_37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290"}</definedName>
    <definedName name="_37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289"}</definedName>
    <definedName name="_37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288"}</definedName>
    <definedName name="_37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287"}</definedName>
    <definedName name="_37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286"}</definedName>
    <definedName name="_37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285"}</definedName>
    <definedName name="_37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284"}</definedName>
    <definedName name="_37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283"}</definedName>
    <definedName name="_3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282"}</definedName>
    <definedName name="_37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281"}</definedName>
    <definedName name="_37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280"}</definedName>
    <definedName name="_37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279"}</definedName>
    <definedName name="_37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278"}</definedName>
    <definedName name="_37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277"}</definedName>
    <definedName name="_37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276"}</definedName>
    <definedName name="_37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275"}</definedName>
    <definedName name="_37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274"}</definedName>
    <definedName name="_37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273"}</definedName>
    <definedName name="_3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272"}</definedName>
    <definedName name="_37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271"}</definedName>
    <definedName name="_37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270"}</definedName>
    <definedName name="_37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269"}</definedName>
    <definedName name="_37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268"}</definedName>
    <definedName name="_37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267"}</definedName>
    <definedName name="_37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266"}</definedName>
    <definedName name="_37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265"}</definedName>
    <definedName name="_37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264"}</definedName>
    <definedName name="_37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263"}</definedName>
    <definedName name="_3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262"}</definedName>
    <definedName name="_37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261"}</definedName>
    <definedName name="_37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260"}</definedName>
    <definedName name="_37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259"}</definedName>
    <definedName name="_37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258"}</definedName>
    <definedName name="_37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257"}</definedName>
    <definedName name="_37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256"}</definedName>
    <definedName name="_37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255"}</definedName>
    <definedName name="_37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254"}</definedName>
    <definedName name="_37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253"}</definedName>
    <definedName name="_3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252"}</definedName>
    <definedName name="_37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251"}</definedName>
    <definedName name="_37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250"}</definedName>
    <definedName name="_37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249"}</definedName>
    <definedName name="_37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248"}</definedName>
    <definedName name="_37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247"}</definedName>
    <definedName name="_37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246"}</definedName>
    <definedName name="_37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245"}</definedName>
    <definedName name="_37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244"}</definedName>
    <definedName name="_37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243"}</definedName>
    <definedName name="_3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242"}</definedName>
    <definedName name="_37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241"}</definedName>
    <definedName name="_37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240"}</definedName>
    <definedName name="_37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239"}</definedName>
    <definedName name="_37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238"}</definedName>
    <definedName name="_37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237"}</definedName>
    <definedName name="_37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236"}</definedName>
    <definedName name="_37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235"}</definedName>
    <definedName name="_37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234"}</definedName>
    <definedName name="_37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233"}</definedName>
    <definedName name="_3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232"}</definedName>
    <definedName name="_37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231"}</definedName>
    <definedName name="_37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230"}</definedName>
    <definedName name="_37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229"}</definedName>
    <definedName name="_37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228"}</definedName>
    <definedName name="_37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227"}</definedName>
    <definedName name="_37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226"}</definedName>
    <definedName name="_37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225"}</definedName>
    <definedName name="_37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224"}</definedName>
    <definedName name="_37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223"}</definedName>
    <definedName name="_3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222"}</definedName>
    <definedName name="_38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221"}</definedName>
    <definedName name="_38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220"}</definedName>
    <definedName name="_38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219"}</definedName>
    <definedName name="_38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218"}</definedName>
    <definedName name="_38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217"}</definedName>
    <definedName name="_38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216"}</definedName>
    <definedName name="_38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215"}</definedName>
    <definedName name="_38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214"}</definedName>
    <definedName name="_38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213"}</definedName>
    <definedName name="_3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212"}</definedName>
    <definedName name="_38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211"}</definedName>
    <definedName name="_38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210"}</definedName>
    <definedName name="_38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209"}</definedName>
    <definedName name="_38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208"}</definedName>
    <definedName name="_38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207"}</definedName>
    <definedName name="_38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206"}</definedName>
    <definedName name="_38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205"}</definedName>
    <definedName name="_38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204"}</definedName>
    <definedName name="_38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203"}</definedName>
    <definedName name="_3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202"}</definedName>
    <definedName name="_38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201"}</definedName>
    <definedName name="_38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200"}</definedName>
    <definedName name="_38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199"}</definedName>
    <definedName name="_38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198"}</definedName>
    <definedName name="_38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197"}</definedName>
    <definedName name="_38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196"}</definedName>
    <definedName name="_38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195"}</definedName>
    <definedName name="_38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194"}</definedName>
    <definedName name="_38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193"}</definedName>
    <definedName name="_3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192"}</definedName>
    <definedName name="_38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191"}</definedName>
    <definedName name="_38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190"}</definedName>
    <definedName name="_38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189"}</definedName>
    <definedName name="_38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188"}</definedName>
    <definedName name="_38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187"}</definedName>
    <definedName name="_38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186"}</definedName>
    <definedName name="_38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185"}</definedName>
    <definedName name="_38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184"}</definedName>
    <definedName name="_38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183"}</definedName>
    <definedName name="_3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182"}</definedName>
    <definedName name="_38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181"}</definedName>
    <definedName name="_38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180"}</definedName>
    <definedName name="_38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179"}</definedName>
    <definedName name="_38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178"}</definedName>
    <definedName name="_38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177"}</definedName>
    <definedName name="_38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176"}</definedName>
    <definedName name="_38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175"}</definedName>
    <definedName name="_38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174"}</definedName>
    <definedName name="_38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173"}</definedName>
    <definedName name="_3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172"}</definedName>
    <definedName name="_38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171"}</definedName>
    <definedName name="_38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170"}</definedName>
    <definedName name="_38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169"}</definedName>
    <definedName name="_38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168"}</definedName>
    <definedName name="_38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167"}</definedName>
    <definedName name="_38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166"}</definedName>
    <definedName name="_38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165"}</definedName>
    <definedName name="_38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164"}</definedName>
    <definedName name="_38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163"}</definedName>
    <definedName name="_3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162"}</definedName>
    <definedName name="_38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161"}</definedName>
    <definedName name="_38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160"}</definedName>
    <definedName name="_38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159"}</definedName>
    <definedName name="_38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158"}</definedName>
    <definedName name="_38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157"}</definedName>
    <definedName name="_38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156"}</definedName>
    <definedName name="_38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155"}</definedName>
    <definedName name="_38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154"}</definedName>
    <definedName name="_38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153"}</definedName>
    <definedName name="_3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152"}</definedName>
    <definedName name="_38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151"}</definedName>
    <definedName name="_38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150"}</definedName>
    <definedName name="_38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149"}</definedName>
    <definedName name="_38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148"}</definedName>
    <definedName name="_38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147"}</definedName>
    <definedName name="_38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146"}</definedName>
    <definedName name="_38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145"}</definedName>
    <definedName name="_38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144"}</definedName>
    <definedName name="_38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143"}</definedName>
    <definedName name="_3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142"}</definedName>
    <definedName name="_38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141"}</definedName>
    <definedName name="_38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140"}</definedName>
    <definedName name="_38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139"}</definedName>
    <definedName name="_38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138"}</definedName>
    <definedName name="_38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137"}</definedName>
    <definedName name="_38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136"}</definedName>
    <definedName name="_38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135"}</definedName>
    <definedName name="_38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134"}</definedName>
    <definedName name="_38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133"}</definedName>
    <definedName name="_3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132"}</definedName>
    <definedName name="_38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131"}</definedName>
    <definedName name="_38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130"}</definedName>
    <definedName name="_38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129"}</definedName>
    <definedName name="_38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128"}</definedName>
    <definedName name="_38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127"}</definedName>
    <definedName name="_38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126"}</definedName>
    <definedName name="_38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125"}</definedName>
    <definedName name="_38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124"}</definedName>
    <definedName name="_38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123"}</definedName>
    <definedName name="_39__123Graph_XCHART_21A" hidden="1">#REF!</definedName>
    <definedName name="_3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122"}</definedName>
    <definedName name="_39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121"}</definedName>
    <definedName name="_39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120"}</definedName>
    <definedName name="_39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119"}</definedName>
    <definedName name="_39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118"}</definedName>
    <definedName name="_39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117"}</definedName>
    <definedName name="_39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116"}</definedName>
    <definedName name="_39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115"}</definedName>
    <definedName name="_39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114"}</definedName>
    <definedName name="_39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113"}</definedName>
    <definedName name="_3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112"}</definedName>
    <definedName name="_39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111"}</definedName>
    <definedName name="_39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110"}</definedName>
    <definedName name="_39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109"}</definedName>
    <definedName name="_39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108"}</definedName>
    <definedName name="_39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107"}</definedName>
    <definedName name="_39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106"}</definedName>
    <definedName name="_39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105"}</definedName>
    <definedName name="_39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104"}</definedName>
    <definedName name="_39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103"}</definedName>
    <definedName name="_3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102"}</definedName>
    <definedName name="_39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101"}</definedName>
    <definedName name="_39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100"}</definedName>
    <definedName name="_39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99"}</definedName>
    <definedName name="_39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98"}</definedName>
    <definedName name="_39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97"}</definedName>
    <definedName name="_39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96"}</definedName>
    <definedName name="_39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95"}</definedName>
    <definedName name="_39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94"}</definedName>
    <definedName name="_39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93"}</definedName>
    <definedName name="_3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92"}</definedName>
    <definedName name="_39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91"}</definedName>
    <definedName name="_39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90"}</definedName>
    <definedName name="_39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89"}</definedName>
    <definedName name="_39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88"}</definedName>
    <definedName name="_39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87"}</definedName>
    <definedName name="_39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86"}</definedName>
    <definedName name="_39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85"}</definedName>
    <definedName name="_39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84"}</definedName>
    <definedName name="_39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83"}</definedName>
    <definedName name="_3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82"}</definedName>
    <definedName name="_39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81"}</definedName>
    <definedName name="_39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80"}</definedName>
    <definedName name="_39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79"}</definedName>
    <definedName name="_39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78"}</definedName>
    <definedName name="_39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77"}</definedName>
    <definedName name="_39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76"}</definedName>
    <definedName name="_39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75"}</definedName>
    <definedName name="_39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74"}</definedName>
    <definedName name="_39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73"}</definedName>
    <definedName name="_3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72"}</definedName>
    <definedName name="_39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71"}</definedName>
    <definedName name="_39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70"}</definedName>
    <definedName name="_39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69"}</definedName>
    <definedName name="_39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68"}</definedName>
    <definedName name="_39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67"}</definedName>
    <definedName name="_39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66"}</definedName>
    <definedName name="_39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65"}</definedName>
    <definedName name="_39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64"}</definedName>
    <definedName name="_39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63"}</definedName>
    <definedName name="_3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62"}</definedName>
    <definedName name="_39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61"}</definedName>
    <definedName name="_39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60"}</definedName>
    <definedName name="_39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59"}</definedName>
    <definedName name="_39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58"}</definedName>
    <definedName name="_39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57"}</definedName>
    <definedName name="_39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56"}</definedName>
    <definedName name="_39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55"}</definedName>
    <definedName name="_39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54"}</definedName>
    <definedName name="_39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53"}</definedName>
    <definedName name="_3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52"}</definedName>
    <definedName name="_39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51"}</definedName>
    <definedName name="_39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50"}</definedName>
    <definedName name="_39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49"}</definedName>
    <definedName name="_39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48"}</definedName>
    <definedName name="_39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47"}</definedName>
    <definedName name="_39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46"}</definedName>
    <definedName name="_39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45"}</definedName>
    <definedName name="_39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44"}</definedName>
    <definedName name="_39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43"}</definedName>
    <definedName name="_3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42"}</definedName>
    <definedName name="_39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41"}</definedName>
    <definedName name="_39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40"}</definedName>
    <definedName name="_39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39"}</definedName>
    <definedName name="_39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38"}</definedName>
    <definedName name="_39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37"}</definedName>
    <definedName name="_39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36"}</definedName>
    <definedName name="_39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35"}</definedName>
    <definedName name="_39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34"}</definedName>
    <definedName name="_39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33"}</definedName>
    <definedName name="_3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definedName>
    <definedName name="_39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definedName>
    <definedName name="_39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definedName>
    <definedName name="_39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definedName>
    <definedName name="_39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definedName>
    <definedName name="_39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definedName>
    <definedName name="_39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definedName>
    <definedName name="_39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definedName>
    <definedName name="_39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definedName>
    <definedName name="_39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definedName>
    <definedName name="_4__123Graph_ACHART_4" localSheetId="1" hidden="1">[2]AnnualData!#REF!</definedName>
    <definedName name="_4__123Graph_ACHART_4" hidden="1">[2]AnnualData!#REF!</definedName>
    <definedName name="_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definedName>
    <definedName name="_40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definedName>
    <definedName name="_40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definedName>
    <definedName name="_40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definedName>
    <definedName name="_40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definedName>
    <definedName name="_40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definedName>
    <definedName name="_40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definedName>
    <definedName name="_40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definedName>
    <definedName name="_40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definedName>
    <definedName name="_40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definedName>
    <definedName name="_4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definedName>
    <definedName name="_40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definedName>
    <definedName name="_40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definedName>
    <definedName name="_40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definedName>
    <definedName name="_40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definedName>
    <definedName name="_40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definedName>
    <definedName name="_40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definedName>
    <definedName name="_40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definedName>
    <definedName name="_40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definedName>
    <definedName name="_40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definedName>
    <definedName name="_4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definedName>
    <definedName name="_40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definedName>
    <definedName name="_40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0"}</definedName>
    <definedName name="_40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326"}</definedName>
    <definedName name="_40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325"}</definedName>
    <definedName name="_40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324"}</definedName>
    <definedName name="_40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323"}</definedName>
    <definedName name="_40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322"}</definedName>
    <definedName name="_40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321"}</definedName>
    <definedName name="_40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320"}</definedName>
    <definedName name="_4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319"}</definedName>
    <definedName name="_40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318"}</definedName>
    <definedName name="_40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317"}</definedName>
    <definedName name="_40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316"}</definedName>
    <definedName name="_40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315"}</definedName>
    <definedName name="_40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314"}</definedName>
    <definedName name="_40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313"}</definedName>
    <definedName name="_40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312"}</definedName>
    <definedName name="_40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311"}</definedName>
    <definedName name="_40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310"}</definedName>
    <definedName name="_4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309"}</definedName>
    <definedName name="_40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308"}</definedName>
    <definedName name="_40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307"}</definedName>
    <definedName name="_40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306"}</definedName>
    <definedName name="_40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305"}</definedName>
    <definedName name="_40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304"}</definedName>
    <definedName name="_40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303"}</definedName>
    <definedName name="_40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302"}</definedName>
    <definedName name="_40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301"}</definedName>
    <definedName name="_40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300"}</definedName>
    <definedName name="_4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299"}</definedName>
    <definedName name="_40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298"}</definedName>
    <definedName name="_40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297"}</definedName>
    <definedName name="_40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296"}</definedName>
    <definedName name="_40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295"}</definedName>
    <definedName name="_40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294"}</definedName>
    <definedName name="_40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293"}</definedName>
    <definedName name="_40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292"}</definedName>
    <definedName name="_40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291"}</definedName>
    <definedName name="_40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290"}</definedName>
    <definedName name="_4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289"}</definedName>
    <definedName name="_40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288"}</definedName>
    <definedName name="_40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287"}</definedName>
    <definedName name="_40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286"}</definedName>
    <definedName name="_40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285"}</definedName>
    <definedName name="_40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284"}</definedName>
    <definedName name="_40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283"}</definedName>
    <definedName name="_40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282"}</definedName>
    <definedName name="_40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281"}</definedName>
    <definedName name="_40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280"}</definedName>
    <definedName name="_4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279"}</definedName>
    <definedName name="_40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278"}</definedName>
    <definedName name="_40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277"}</definedName>
    <definedName name="_40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276"}</definedName>
    <definedName name="_40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275"}</definedName>
    <definedName name="_40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274"}</definedName>
    <definedName name="_40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273"}</definedName>
    <definedName name="_40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272"}</definedName>
    <definedName name="_40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271"}</definedName>
    <definedName name="_40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270"}</definedName>
    <definedName name="_4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269"}</definedName>
    <definedName name="_40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268"}</definedName>
    <definedName name="_40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267"}</definedName>
    <definedName name="_40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266"}</definedName>
    <definedName name="_40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265"}</definedName>
    <definedName name="_40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264"}</definedName>
    <definedName name="_40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263"}</definedName>
    <definedName name="_40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262"}</definedName>
    <definedName name="_40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261"}</definedName>
    <definedName name="_40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260"}</definedName>
    <definedName name="_4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259"}</definedName>
    <definedName name="_40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258"}</definedName>
    <definedName name="_40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257"}</definedName>
    <definedName name="_40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256"}</definedName>
    <definedName name="_40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255"}</definedName>
    <definedName name="_40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254"}</definedName>
    <definedName name="_40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253"}</definedName>
    <definedName name="_40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252"}</definedName>
    <definedName name="_40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251"}</definedName>
    <definedName name="_40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250"}</definedName>
    <definedName name="_4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249"}</definedName>
    <definedName name="_41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248"}</definedName>
    <definedName name="_41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247"}</definedName>
    <definedName name="_41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246"}</definedName>
    <definedName name="_41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245"}</definedName>
    <definedName name="_41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244"}</definedName>
    <definedName name="_41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243"}</definedName>
    <definedName name="_41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242"}</definedName>
    <definedName name="_41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241"}</definedName>
    <definedName name="_41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240"}</definedName>
    <definedName name="_4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239"}</definedName>
    <definedName name="_41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238"}</definedName>
    <definedName name="_41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237"}</definedName>
    <definedName name="_41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236"}</definedName>
    <definedName name="_41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235"}</definedName>
    <definedName name="_41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234"}</definedName>
    <definedName name="_41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233"}</definedName>
    <definedName name="_41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232"}</definedName>
    <definedName name="_41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231"}</definedName>
    <definedName name="_41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230"}</definedName>
    <definedName name="_4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229"}</definedName>
    <definedName name="_41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228"}</definedName>
    <definedName name="_41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227"}</definedName>
    <definedName name="_41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226"}</definedName>
    <definedName name="_41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225"}</definedName>
    <definedName name="_41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224"}</definedName>
    <definedName name="_41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223"}</definedName>
    <definedName name="_41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222"}</definedName>
    <definedName name="_41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221"}</definedName>
    <definedName name="_41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220"}</definedName>
    <definedName name="_4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219"}</definedName>
    <definedName name="_41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218"}</definedName>
    <definedName name="_41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217"}</definedName>
    <definedName name="_41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216"}</definedName>
    <definedName name="_41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215"}</definedName>
    <definedName name="_41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214"}</definedName>
    <definedName name="_41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213"}</definedName>
    <definedName name="_41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212"}</definedName>
    <definedName name="_41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211"}</definedName>
    <definedName name="_41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210"}</definedName>
    <definedName name="_4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209"}</definedName>
    <definedName name="_41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208"}</definedName>
    <definedName name="_41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207"}</definedName>
    <definedName name="_41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206"}</definedName>
    <definedName name="_41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205"}</definedName>
    <definedName name="_41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204"}</definedName>
    <definedName name="_41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203"}</definedName>
    <definedName name="_41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202"}</definedName>
    <definedName name="_41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201"}</definedName>
    <definedName name="_41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200"}</definedName>
    <definedName name="_4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199"}</definedName>
    <definedName name="_41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198"}</definedName>
    <definedName name="_41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197"}</definedName>
    <definedName name="_41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196"}</definedName>
    <definedName name="_41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195"}</definedName>
    <definedName name="_41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194"}</definedName>
    <definedName name="_41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193"}</definedName>
    <definedName name="_41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192"}</definedName>
    <definedName name="_41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191"}</definedName>
    <definedName name="_41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190"}</definedName>
    <definedName name="_4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189"}</definedName>
    <definedName name="_41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188"}</definedName>
    <definedName name="_41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187"}</definedName>
    <definedName name="_41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186"}</definedName>
    <definedName name="_41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185"}</definedName>
    <definedName name="_41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184"}</definedName>
    <definedName name="_41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183"}</definedName>
    <definedName name="_41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182"}</definedName>
    <definedName name="_41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181"}</definedName>
    <definedName name="_41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180"}</definedName>
    <definedName name="_4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179"}</definedName>
    <definedName name="_41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178"}</definedName>
    <definedName name="_41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177"}</definedName>
    <definedName name="_41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176"}</definedName>
    <definedName name="_41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175"}</definedName>
    <definedName name="_41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174"}</definedName>
    <definedName name="_41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173"}</definedName>
    <definedName name="_41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172"}</definedName>
    <definedName name="_41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171"}</definedName>
    <definedName name="_41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170"}</definedName>
    <definedName name="_4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169"}</definedName>
    <definedName name="_41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168"}</definedName>
    <definedName name="_41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167"}</definedName>
    <definedName name="_41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166"}</definedName>
    <definedName name="_41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165"}</definedName>
    <definedName name="_41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164"}</definedName>
    <definedName name="_41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163"}</definedName>
    <definedName name="_41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162"}</definedName>
    <definedName name="_41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161"}</definedName>
    <definedName name="_41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160"}</definedName>
    <definedName name="_4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159"}</definedName>
    <definedName name="_41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158"}</definedName>
    <definedName name="_41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157"}</definedName>
    <definedName name="_41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156"}</definedName>
    <definedName name="_41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155"}</definedName>
    <definedName name="_41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154"}</definedName>
    <definedName name="_41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153"}</definedName>
    <definedName name="_41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152"}</definedName>
    <definedName name="_41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151"}</definedName>
    <definedName name="_41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150"}</definedName>
    <definedName name="_4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149"}</definedName>
    <definedName name="_42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148"}</definedName>
    <definedName name="_42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147"}</definedName>
    <definedName name="_42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146"}</definedName>
    <definedName name="_42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145"}</definedName>
    <definedName name="_42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144"}</definedName>
    <definedName name="_42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143"}</definedName>
    <definedName name="_42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142"}</definedName>
    <definedName name="_42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141"}</definedName>
    <definedName name="_42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140"}</definedName>
    <definedName name="_4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139"}</definedName>
    <definedName name="_42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138"}</definedName>
    <definedName name="_42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137"}</definedName>
    <definedName name="_42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136"}</definedName>
    <definedName name="_42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135"}</definedName>
    <definedName name="_42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134"}</definedName>
    <definedName name="_42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133"}</definedName>
    <definedName name="_42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132"}</definedName>
    <definedName name="_42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131"}</definedName>
    <definedName name="_42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130"}</definedName>
    <definedName name="_4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129"}</definedName>
    <definedName name="_42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128"}</definedName>
    <definedName name="_42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127"}</definedName>
    <definedName name="_42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126"}</definedName>
    <definedName name="_42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125"}</definedName>
    <definedName name="_42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124"}</definedName>
    <definedName name="_42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123"}</definedName>
    <definedName name="_42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122"}</definedName>
    <definedName name="_42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121"}</definedName>
    <definedName name="_42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120"}</definedName>
    <definedName name="_4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119"}</definedName>
    <definedName name="_42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118"}</definedName>
    <definedName name="_42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117"}</definedName>
    <definedName name="_42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116"}</definedName>
    <definedName name="_42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115"}</definedName>
    <definedName name="_42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114"}</definedName>
    <definedName name="_42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113"}</definedName>
    <definedName name="_42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112"}</definedName>
    <definedName name="_42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111"}</definedName>
    <definedName name="_42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110"}</definedName>
    <definedName name="_4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109"}</definedName>
    <definedName name="_42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108"}</definedName>
    <definedName name="_42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107"}</definedName>
    <definedName name="_42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106"}</definedName>
    <definedName name="_42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105"}</definedName>
    <definedName name="_42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104"}</definedName>
    <definedName name="_42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103"}</definedName>
    <definedName name="_42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102"}</definedName>
    <definedName name="_42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101"}</definedName>
    <definedName name="_42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100"}</definedName>
    <definedName name="_4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99"}</definedName>
    <definedName name="_42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98"}</definedName>
    <definedName name="_42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97"}</definedName>
    <definedName name="_42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96"}</definedName>
    <definedName name="_42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95"}</definedName>
    <definedName name="_42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94"}</definedName>
    <definedName name="_42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93"}</definedName>
    <definedName name="_42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92"}</definedName>
    <definedName name="_42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91"}</definedName>
    <definedName name="_42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90"}</definedName>
    <definedName name="_4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89"}</definedName>
    <definedName name="_42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88"}</definedName>
    <definedName name="_42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87"}</definedName>
    <definedName name="_42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86"}</definedName>
    <definedName name="_42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85"}</definedName>
    <definedName name="_42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84"}</definedName>
    <definedName name="_42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83"}</definedName>
    <definedName name="_42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82"}</definedName>
    <definedName name="_42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81"}</definedName>
    <definedName name="_42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80"}</definedName>
    <definedName name="_4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79"}</definedName>
    <definedName name="_42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78"}</definedName>
    <definedName name="_42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77"}</definedName>
    <definedName name="_42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76"}</definedName>
    <definedName name="_42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75"}</definedName>
    <definedName name="_42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74"}</definedName>
    <definedName name="_42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73"}</definedName>
    <definedName name="_42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72"}</definedName>
    <definedName name="_42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71"}</definedName>
    <definedName name="_42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70"}</definedName>
    <definedName name="_4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69"}</definedName>
    <definedName name="_42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68"}</definedName>
    <definedName name="_42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67"}</definedName>
    <definedName name="_42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66"}</definedName>
    <definedName name="_42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65"}</definedName>
    <definedName name="_42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64"}</definedName>
    <definedName name="_42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63"}</definedName>
    <definedName name="_42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62"}</definedName>
    <definedName name="_42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61"}</definedName>
    <definedName name="_42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60"}</definedName>
    <definedName name="_4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59"}</definedName>
    <definedName name="_42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58"}</definedName>
    <definedName name="_42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57"}</definedName>
    <definedName name="_42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56"}</definedName>
    <definedName name="_42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55"}</definedName>
    <definedName name="_42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54"}</definedName>
    <definedName name="_42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53"}</definedName>
    <definedName name="_42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52"}</definedName>
    <definedName name="_42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51"}</definedName>
    <definedName name="_42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50"}</definedName>
    <definedName name="_4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49"}</definedName>
    <definedName name="_43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48"}</definedName>
    <definedName name="_43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47"}</definedName>
    <definedName name="_43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46"}</definedName>
    <definedName name="_43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45"}</definedName>
    <definedName name="_43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44"}</definedName>
    <definedName name="_43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43"}</definedName>
    <definedName name="_43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42"}</definedName>
    <definedName name="_43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41"}</definedName>
    <definedName name="_43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40"}</definedName>
    <definedName name="_4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39"}</definedName>
    <definedName name="_43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38"}</definedName>
    <definedName name="_43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37"}</definedName>
    <definedName name="_43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36"}</definedName>
    <definedName name="_43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35"}</definedName>
    <definedName name="_43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34"}</definedName>
    <definedName name="_43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33"}</definedName>
    <definedName name="_43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definedName>
    <definedName name="_43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definedName>
    <definedName name="_43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definedName>
    <definedName name="_4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definedName>
    <definedName name="_43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definedName>
    <definedName name="_43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definedName>
    <definedName name="_43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definedName>
    <definedName name="_43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definedName>
    <definedName name="_43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definedName>
    <definedName name="_43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definedName>
    <definedName name="_43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definedName>
    <definedName name="_43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definedName>
    <definedName name="_43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definedName>
    <definedName name="_4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definedName>
    <definedName name="_43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definedName>
    <definedName name="_43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definedName>
    <definedName name="_43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definedName>
    <definedName name="_43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definedName>
    <definedName name="_43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definedName>
    <definedName name="_43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definedName>
    <definedName name="_43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definedName>
    <definedName name="_43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definedName>
    <definedName name="_43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definedName>
    <definedName name="_4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definedName>
    <definedName name="_43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definedName>
    <definedName name="_43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definedName>
    <definedName name="_43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definedName>
    <definedName name="_43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definedName>
    <definedName name="_43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definedName>
    <definedName name="_43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definedName>
    <definedName name="_43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definedName>
    <definedName name="_43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definedName>
    <definedName name="_43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0"}</definedName>
    <definedName name="_4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0"}</definedName>
    <definedName name="_43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326"}</definedName>
    <definedName name="_43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325"}</definedName>
    <definedName name="_43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324"}</definedName>
    <definedName name="_43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323"}</definedName>
    <definedName name="_43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322"}</definedName>
    <definedName name="_43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321"}</definedName>
    <definedName name="_43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320"}</definedName>
    <definedName name="_43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319"}</definedName>
    <definedName name="_43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318"}</definedName>
    <definedName name="_4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317"}</definedName>
    <definedName name="_43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316"}</definedName>
    <definedName name="_43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315"}</definedName>
    <definedName name="_43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314"}</definedName>
    <definedName name="_43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313"}</definedName>
    <definedName name="_43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312"}</definedName>
    <definedName name="_43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311"}</definedName>
    <definedName name="_43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310"}</definedName>
    <definedName name="_43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309"}</definedName>
    <definedName name="_43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308"}</definedName>
    <definedName name="_4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307"}</definedName>
    <definedName name="_43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306"}</definedName>
    <definedName name="_43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305"}</definedName>
    <definedName name="_43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304"}</definedName>
    <definedName name="_43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303"}</definedName>
    <definedName name="_43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302"}</definedName>
    <definedName name="_43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301"}</definedName>
    <definedName name="_43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300"}</definedName>
    <definedName name="_43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299"}</definedName>
    <definedName name="_43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298"}</definedName>
    <definedName name="_4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297"}</definedName>
    <definedName name="_43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296"}</definedName>
    <definedName name="_43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295"}</definedName>
    <definedName name="_43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294"}</definedName>
    <definedName name="_43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293"}</definedName>
    <definedName name="_43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292"}</definedName>
    <definedName name="_43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291"}</definedName>
    <definedName name="_43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290"}</definedName>
    <definedName name="_43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289"}</definedName>
    <definedName name="_43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288"}</definedName>
    <definedName name="_4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287"}</definedName>
    <definedName name="_43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286"}</definedName>
    <definedName name="_43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285"}</definedName>
    <definedName name="_43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284"}</definedName>
    <definedName name="_43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283"}</definedName>
    <definedName name="_43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282"}</definedName>
    <definedName name="_43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281"}</definedName>
    <definedName name="_43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280"}</definedName>
    <definedName name="_43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279"}</definedName>
    <definedName name="_43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278"}</definedName>
    <definedName name="_4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277"}</definedName>
    <definedName name="_44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276"}</definedName>
    <definedName name="_44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275"}</definedName>
    <definedName name="_44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274"}</definedName>
    <definedName name="_44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273"}</definedName>
    <definedName name="_44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272"}</definedName>
    <definedName name="_44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271"}</definedName>
    <definedName name="_44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270"}</definedName>
    <definedName name="_44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269"}</definedName>
    <definedName name="_44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268"}</definedName>
    <definedName name="_4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267"}</definedName>
    <definedName name="_44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266"}</definedName>
    <definedName name="_44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265"}</definedName>
    <definedName name="_44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264"}</definedName>
    <definedName name="_44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263"}</definedName>
    <definedName name="_44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262"}</definedName>
    <definedName name="_44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261"}</definedName>
    <definedName name="_44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260"}</definedName>
    <definedName name="_44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259"}</definedName>
    <definedName name="_44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258"}</definedName>
    <definedName name="_4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257"}</definedName>
    <definedName name="_44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256"}</definedName>
    <definedName name="_44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255"}</definedName>
    <definedName name="_44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254"}</definedName>
    <definedName name="_44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253"}</definedName>
    <definedName name="_44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252"}</definedName>
    <definedName name="_44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251"}</definedName>
    <definedName name="_44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250"}</definedName>
    <definedName name="_44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249"}</definedName>
    <definedName name="_44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248"}</definedName>
    <definedName name="_4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247"}</definedName>
    <definedName name="_44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246"}</definedName>
    <definedName name="_44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245"}</definedName>
    <definedName name="_44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244"}</definedName>
    <definedName name="_44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243"}</definedName>
    <definedName name="_44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242"}</definedName>
    <definedName name="_44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241"}</definedName>
    <definedName name="_44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240"}</definedName>
    <definedName name="_44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239"}</definedName>
    <definedName name="_44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238"}</definedName>
    <definedName name="_4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237"}</definedName>
    <definedName name="_44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236"}</definedName>
    <definedName name="_44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235"}</definedName>
    <definedName name="_44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234"}</definedName>
    <definedName name="_44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233"}</definedName>
    <definedName name="_44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232"}</definedName>
    <definedName name="_44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231"}</definedName>
    <definedName name="_44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230"}</definedName>
    <definedName name="_44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229"}</definedName>
    <definedName name="_44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228"}</definedName>
    <definedName name="_4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227"}</definedName>
    <definedName name="_44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226"}</definedName>
    <definedName name="_44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225"}</definedName>
    <definedName name="_44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224"}</definedName>
    <definedName name="_44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223"}</definedName>
    <definedName name="_44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222"}</definedName>
    <definedName name="_44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221"}</definedName>
    <definedName name="_44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220"}</definedName>
    <definedName name="_44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219"}</definedName>
    <definedName name="_44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218"}</definedName>
    <definedName name="_4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217"}</definedName>
    <definedName name="_44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216"}</definedName>
    <definedName name="_44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215"}</definedName>
    <definedName name="_44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214"}</definedName>
    <definedName name="_44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213"}</definedName>
    <definedName name="_44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212"}</definedName>
    <definedName name="_44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211"}</definedName>
    <definedName name="_44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210"}</definedName>
    <definedName name="_44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209"}</definedName>
    <definedName name="_44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208"}</definedName>
    <definedName name="_4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207"}</definedName>
    <definedName name="_44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206"}</definedName>
    <definedName name="_44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205"}</definedName>
    <definedName name="_44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204"}</definedName>
    <definedName name="_44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203"}</definedName>
    <definedName name="_44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202"}</definedName>
    <definedName name="_44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201"}</definedName>
    <definedName name="_44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200"}</definedName>
    <definedName name="_44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199"}</definedName>
    <definedName name="_44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198"}</definedName>
    <definedName name="_4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197"}</definedName>
    <definedName name="_44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196"}</definedName>
    <definedName name="_44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195"}</definedName>
    <definedName name="_44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194"}</definedName>
    <definedName name="_44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193"}</definedName>
    <definedName name="_44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192"}</definedName>
    <definedName name="_44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191"}</definedName>
    <definedName name="_44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190"}</definedName>
    <definedName name="_44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189"}</definedName>
    <definedName name="_44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188"}</definedName>
    <definedName name="_4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187"}</definedName>
    <definedName name="_44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186"}</definedName>
    <definedName name="_44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185"}</definedName>
    <definedName name="_44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184"}</definedName>
    <definedName name="_44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183"}</definedName>
    <definedName name="_44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182"}</definedName>
    <definedName name="_44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181"}</definedName>
    <definedName name="_44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180"}</definedName>
    <definedName name="_44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179"}</definedName>
    <definedName name="_44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178"}</definedName>
    <definedName name="_4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177"}</definedName>
    <definedName name="_45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176"}</definedName>
    <definedName name="_45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175"}</definedName>
    <definedName name="_45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174"}</definedName>
    <definedName name="_45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173"}</definedName>
    <definedName name="_45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172"}</definedName>
    <definedName name="_45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171"}</definedName>
    <definedName name="_45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170"}</definedName>
    <definedName name="_45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169"}</definedName>
    <definedName name="_45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168"}</definedName>
    <definedName name="_4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167"}</definedName>
    <definedName name="_45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166"}</definedName>
    <definedName name="_45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165"}</definedName>
    <definedName name="_45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164"}</definedName>
    <definedName name="_45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163"}</definedName>
    <definedName name="_45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162"}</definedName>
    <definedName name="_45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161"}</definedName>
    <definedName name="_45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160"}</definedName>
    <definedName name="_45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159"}</definedName>
    <definedName name="_45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158"}</definedName>
    <definedName name="_4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157"}</definedName>
    <definedName name="_45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156"}</definedName>
    <definedName name="_45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155"}</definedName>
    <definedName name="_45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154"}</definedName>
    <definedName name="_45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153"}</definedName>
    <definedName name="_45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152"}</definedName>
    <definedName name="_45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151"}</definedName>
    <definedName name="_45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150"}</definedName>
    <definedName name="_45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149"}</definedName>
    <definedName name="_45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148"}</definedName>
    <definedName name="_4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147"}</definedName>
    <definedName name="_45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146"}</definedName>
    <definedName name="_45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145"}</definedName>
    <definedName name="_45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144"}</definedName>
    <definedName name="_45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143"}</definedName>
    <definedName name="_45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142"}</definedName>
    <definedName name="_45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141"}</definedName>
    <definedName name="_45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140"}</definedName>
    <definedName name="_45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139"}</definedName>
    <definedName name="_45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138"}</definedName>
    <definedName name="_4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137"}</definedName>
    <definedName name="_45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136"}</definedName>
    <definedName name="_45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135"}</definedName>
    <definedName name="_45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134"}</definedName>
    <definedName name="_45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133"}</definedName>
    <definedName name="_45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132"}</definedName>
    <definedName name="_45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131"}</definedName>
    <definedName name="_45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130"}</definedName>
    <definedName name="_45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129"}</definedName>
    <definedName name="_45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128"}</definedName>
    <definedName name="_4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127"}</definedName>
    <definedName name="_45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126"}</definedName>
    <definedName name="_45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125"}</definedName>
    <definedName name="_45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124"}</definedName>
    <definedName name="_45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123"}</definedName>
    <definedName name="_45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122"}</definedName>
    <definedName name="_45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121"}</definedName>
    <definedName name="_45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120"}</definedName>
    <definedName name="_45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119"}</definedName>
    <definedName name="_45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118"}</definedName>
    <definedName name="_4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117"}</definedName>
    <definedName name="_45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116"}</definedName>
    <definedName name="_45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115"}</definedName>
    <definedName name="_45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114"}</definedName>
    <definedName name="_45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113"}</definedName>
    <definedName name="_45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112"}</definedName>
    <definedName name="_45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111"}</definedName>
    <definedName name="_45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110"}</definedName>
    <definedName name="_45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109"}</definedName>
    <definedName name="_45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108"}</definedName>
    <definedName name="_4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107"}</definedName>
    <definedName name="_45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106"}</definedName>
    <definedName name="_45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105"}</definedName>
    <definedName name="_45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104"}</definedName>
    <definedName name="_45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103"}</definedName>
    <definedName name="_45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102"}</definedName>
    <definedName name="_45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101"}</definedName>
    <definedName name="_45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100"}</definedName>
    <definedName name="_45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99"}</definedName>
    <definedName name="_45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98"}</definedName>
    <definedName name="_4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97"}</definedName>
    <definedName name="_45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96"}</definedName>
    <definedName name="_45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95"}</definedName>
    <definedName name="_45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94"}</definedName>
    <definedName name="_45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93"}</definedName>
    <definedName name="_45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92"}</definedName>
    <definedName name="_45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91"}</definedName>
    <definedName name="_45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90"}</definedName>
    <definedName name="_45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89"}</definedName>
    <definedName name="_45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88"}</definedName>
    <definedName name="_4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87"}</definedName>
    <definedName name="_45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86"}</definedName>
    <definedName name="_45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85"}</definedName>
    <definedName name="_45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84"}</definedName>
    <definedName name="_45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83"}</definedName>
    <definedName name="_45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82"}</definedName>
    <definedName name="_45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81"}</definedName>
    <definedName name="_45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80"}</definedName>
    <definedName name="_45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79"}</definedName>
    <definedName name="_45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78"}</definedName>
    <definedName name="_4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77"}</definedName>
    <definedName name="_46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76"}</definedName>
    <definedName name="_46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75"}</definedName>
    <definedName name="_46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74"}</definedName>
    <definedName name="_46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73"}</definedName>
    <definedName name="_46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72"}</definedName>
    <definedName name="_46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71"}</definedName>
    <definedName name="_46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70"}</definedName>
    <definedName name="_46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69"}</definedName>
    <definedName name="_46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68"}</definedName>
    <definedName name="_4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67"}</definedName>
    <definedName name="_46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66"}</definedName>
    <definedName name="_46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65"}</definedName>
    <definedName name="_46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64"}</definedName>
    <definedName name="_46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63"}</definedName>
    <definedName name="_46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62"}</definedName>
    <definedName name="_46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61"}</definedName>
    <definedName name="_46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60"}</definedName>
    <definedName name="_46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59"}</definedName>
    <definedName name="_46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58"}</definedName>
    <definedName name="_4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57"}</definedName>
    <definedName name="_46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56"}</definedName>
    <definedName name="_46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55"}</definedName>
    <definedName name="_46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54"}</definedName>
    <definedName name="_46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53"}</definedName>
    <definedName name="_46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52"}</definedName>
    <definedName name="_46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51"}</definedName>
    <definedName name="_46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50"}</definedName>
    <definedName name="_46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49"}</definedName>
    <definedName name="_46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48"}</definedName>
    <definedName name="_4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47"}</definedName>
    <definedName name="_46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46"}</definedName>
    <definedName name="_46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45"}</definedName>
    <definedName name="_46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44"}</definedName>
    <definedName name="_46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43"}</definedName>
    <definedName name="_46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42"}</definedName>
    <definedName name="_46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41"}</definedName>
    <definedName name="_46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40"}</definedName>
    <definedName name="_46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39"}</definedName>
    <definedName name="_46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38"}</definedName>
    <definedName name="_4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37"}</definedName>
    <definedName name="_46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36"}</definedName>
    <definedName name="_46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35"}</definedName>
    <definedName name="_46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34"}</definedName>
    <definedName name="_46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33"}</definedName>
    <definedName name="_46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definedName>
    <definedName name="_46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definedName>
    <definedName name="_46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definedName>
    <definedName name="_46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definedName>
    <definedName name="_46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definedName>
    <definedName name="_4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definedName>
    <definedName name="_46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definedName>
    <definedName name="_46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definedName>
    <definedName name="_46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definedName>
    <definedName name="_46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definedName>
    <definedName name="_46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definedName>
    <definedName name="_46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definedName>
    <definedName name="_46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definedName>
    <definedName name="_46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definedName>
    <definedName name="_46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definedName>
    <definedName name="_4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definedName>
    <definedName name="_46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definedName>
    <definedName name="_46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definedName>
    <definedName name="_46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definedName>
    <definedName name="_46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definedName>
    <definedName name="_46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definedName>
    <definedName name="_46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definedName>
    <definedName name="_46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definedName>
    <definedName name="_46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definedName>
    <definedName name="_46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definedName>
    <definedName name="_4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definedName>
    <definedName name="_46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definedName>
    <definedName name="_46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definedName>
    <definedName name="_46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definedName>
    <definedName name="_46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definedName>
    <definedName name="_46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definedName>
    <definedName name="_46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definedName>
    <definedName name="_46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326"}</definedName>
    <definedName name="_46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325"}</definedName>
    <definedName name="_46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324"}</definedName>
    <definedName name="_4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323"}</definedName>
    <definedName name="_46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322"}</definedName>
    <definedName name="_46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321"}</definedName>
    <definedName name="_46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320"}</definedName>
    <definedName name="_46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319"}</definedName>
    <definedName name="_46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318"}</definedName>
    <definedName name="_46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317"}</definedName>
    <definedName name="_46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316"}</definedName>
    <definedName name="_46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315"}</definedName>
    <definedName name="_46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314"}</definedName>
    <definedName name="_4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313"}</definedName>
    <definedName name="_46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312"}</definedName>
    <definedName name="_46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311"}</definedName>
    <definedName name="_46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310"}</definedName>
    <definedName name="_46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309"}</definedName>
    <definedName name="_46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308"}</definedName>
    <definedName name="_46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307"}</definedName>
    <definedName name="_46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306"}</definedName>
    <definedName name="_46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305"}</definedName>
    <definedName name="_46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304"}</definedName>
    <definedName name="_4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303"}</definedName>
    <definedName name="_47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302"}</definedName>
    <definedName name="_47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301"}</definedName>
    <definedName name="_47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300"}</definedName>
    <definedName name="_47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299"}</definedName>
    <definedName name="_47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298"}</definedName>
    <definedName name="_47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297"}</definedName>
    <definedName name="_47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296"}</definedName>
    <definedName name="_47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295"}</definedName>
    <definedName name="_47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294"}</definedName>
    <definedName name="_4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293"}</definedName>
    <definedName name="_47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292"}</definedName>
    <definedName name="_47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291"}</definedName>
    <definedName name="_47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290"}</definedName>
    <definedName name="_47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289"}</definedName>
    <definedName name="_47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288"}</definedName>
    <definedName name="_47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287"}</definedName>
    <definedName name="_47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286"}</definedName>
    <definedName name="_47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285"}</definedName>
    <definedName name="_47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284"}</definedName>
    <definedName name="_4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283"}</definedName>
    <definedName name="_47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282"}</definedName>
    <definedName name="_47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281"}</definedName>
    <definedName name="_47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280"}</definedName>
    <definedName name="_47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279"}</definedName>
    <definedName name="_47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278"}</definedName>
    <definedName name="_47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277"}</definedName>
    <definedName name="_47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276"}</definedName>
    <definedName name="_47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275"}</definedName>
    <definedName name="_47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274"}</definedName>
    <definedName name="_4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273"}</definedName>
    <definedName name="_47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272"}</definedName>
    <definedName name="_47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271"}</definedName>
    <definedName name="_47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270"}</definedName>
    <definedName name="_47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269"}</definedName>
    <definedName name="_47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268"}</definedName>
    <definedName name="_47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267"}</definedName>
    <definedName name="_47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266"}</definedName>
    <definedName name="_47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265"}</definedName>
    <definedName name="_47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264"}</definedName>
    <definedName name="_4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263"}</definedName>
    <definedName name="_47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262"}</definedName>
    <definedName name="_47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261"}</definedName>
    <definedName name="_47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260"}</definedName>
    <definedName name="_47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259"}</definedName>
    <definedName name="_47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258"}</definedName>
    <definedName name="_47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257"}</definedName>
    <definedName name="_47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256"}</definedName>
    <definedName name="_47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255"}</definedName>
    <definedName name="_47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254"}</definedName>
    <definedName name="_4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253"}</definedName>
    <definedName name="_47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252"}</definedName>
    <definedName name="_47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251"}</definedName>
    <definedName name="_47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250"}</definedName>
    <definedName name="_47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249"}</definedName>
    <definedName name="_47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248"}</definedName>
    <definedName name="_47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247"}</definedName>
    <definedName name="_47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246"}</definedName>
    <definedName name="_47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245"}</definedName>
    <definedName name="_47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244"}</definedName>
    <definedName name="_4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243"}</definedName>
    <definedName name="_47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242"}</definedName>
    <definedName name="_47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241"}</definedName>
    <definedName name="_47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240"}</definedName>
    <definedName name="_47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239"}</definedName>
    <definedName name="_47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238"}</definedName>
    <definedName name="_47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237"}</definedName>
    <definedName name="_47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236"}</definedName>
    <definedName name="_47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235"}</definedName>
    <definedName name="_47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234"}</definedName>
    <definedName name="_4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233"}</definedName>
    <definedName name="_47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232"}</definedName>
    <definedName name="_47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231"}</definedName>
    <definedName name="_47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230"}</definedName>
    <definedName name="_47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229"}</definedName>
    <definedName name="_47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228"}</definedName>
    <definedName name="_47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227"}</definedName>
    <definedName name="_47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226"}</definedName>
    <definedName name="_47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225"}</definedName>
    <definedName name="_47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224"}</definedName>
    <definedName name="_4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223"}</definedName>
    <definedName name="_47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222"}</definedName>
    <definedName name="_47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221"}</definedName>
    <definedName name="_47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220"}</definedName>
    <definedName name="_47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219"}</definedName>
    <definedName name="_47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218"}</definedName>
    <definedName name="_47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217"}</definedName>
    <definedName name="_47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216"}</definedName>
    <definedName name="_47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215"}</definedName>
    <definedName name="_47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214"}</definedName>
    <definedName name="_4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213"}</definedName>
    <definedName name="_47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212"}</definedName>
    <definedName name="_47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211"}</definedName>
    <definedName name="_47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210"}</definedName>
    <definedName name="_47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209"}</definedName>
    <definedName name="_47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208"}</definedName>
    <definedName name="_47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207"}</definedName>
    <definedName name="_47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206"}</definedName>
    <definedName name="_47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205"}</definedName>
    <definedName name="_47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204"}</definedName>
    <definedName name="_4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203"}</definedName>
    <definedName name="_48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202"}</definedName>
    <definedName name="_48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201"}</definedName>
    <definedName name="_48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200"}</definedName>
    <definedName name="_48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199"}</definedName>
    <definedName name="_48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198"}</definedName>
    <definedName name="_48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197"}</definedName>
    <definedName name="_48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196"}</definedName>
    <definedName name="_48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195"}</definedName>
    <definedName name="_48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194"}</definedName>
    <definedName name="_4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193"}</definedName>
    <definedName name="_48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192"}</definedName>
    <definedName name="_48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191"}</definedName>
    <definedName name="_48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190"}</definedName>
    <definedName name="_48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189"}</definedName>
    <definedName name="_48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188"}</definedName>
    <definedName name="_48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187"}</definedName>
    <definedName name="_48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186"}</definedName>
    <definedName name="_48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185"}</definedName>
    <definedName name="_48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184"}</definedName>
    <definedName name="_4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183"}</definedName>
    <definedName name="_48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182"}</definedName>
    <definedName name="_48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181"}</definedName>
    <definedName name="_48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180"}</definedName>
    <definedName name="_48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179"}</definedName>
    <definedName name="_48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178"}</definedName>
    <definedName name="_48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177"}</definedName>
    <definedName name="_48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176"}</definedName>
    <definedName name="_48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175"}</definedName>
    <definedName name="_48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174"}</definedName>
    <definedName name="_4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173"}</definedName>
    <definedName name="_48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172"}</definedName>
    <definedName name="_48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171"}</definedName>
    <definedName name="_48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170"}</definedName>
    <definedName name="_48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169"}</definedName>
    <definedName name="_48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168"}</definedName>
    <definedName name="_48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167"}</definedName>
    <definedName name="_48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166"}</definedName>
    <definedName name="_48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165"}</definedName>
    <definedName name="_48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164"}</definedName>
    <definedName name="_4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163"}</definedName>
    <definedName name="_48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162"}</definedName>
    <definedName name="_48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161"}</definedName>
    <definedName name="_48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160"}</definedName>
    <definedName name="_48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159"}</definedName>
    <definedName name="_48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158"}</definedName>
    <definedName name="_48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157"}</definedName>
    <definedName name="_48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156"}</definedName>
    <definedName name="_48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155"}</definedName>
    <definedName name="_48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154"}</definedName>
    <definedName name="_4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153"}</definedName>
    <definedName name="_48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152"}</definedName>
    <definedName name="_48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151"}</definedName>
    <definedName name="_48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150"}</definedName>
    <definedName name="_48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149"}</definedName>
    <definedName name="_48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148"}</definedName>
    <definedName name="_48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147"}</definedName>
    <definedName name="_48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146"}</definedName>
    <definedName name="_48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145"}</definedName>
    <definedName name="_48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144"}</definedName>
    <definedName name="_4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143"}</definedName>
    <definedName name="_48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142"}</definedName>
    <definedName name="_48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141"}</definedName>
    <definedName name="_48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140"}</definedName>
    <definedName name="_48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139"}</definedName>
    <definedName name="_48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138"}</definedName>
    <definedName name="_48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137"}</definedName>
    <definedName name="_48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136"}</definedName>
    <definedName name="_48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135"}</definedName>
    <definedName name="_48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134"}</definedName>
    <definedName name="_4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133"}</definedName>
    <definedName name="_48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132"}</definedName>
    <definedName name="_48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131"}</definedName>
    <definedName name="_48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130"}</definedName>
    <definedName name="_48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129"}</definedName>
    <definedName name="_48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128"}</definedName>
    <definedName name="_48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127"}</definedName>
    <definedName name="_48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126"}</definedName>
    <definedName name="_48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125"}</definedName>
    <definedName name="_48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124"}</definedName>
    <definedName name="_4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123"}</definedName>
    <definedName name="_48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122"}</definedName>
    <definedName name="_48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121"}</definedName>
    <definedName name="_48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120"}</definedName>
    <definedName name="_48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119"}</definedName>
    <definedName name="_48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118"}</definedName>
    <definedName name="_48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117"}</definedName>
    <definedName name="_48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116"}</definedName>
    <definedName name="_48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115"}</definedName>
    <definedName name="_48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114"}</definedName>
    <definedName name="_4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113"}</definedName>
    <definedName name="_48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112"}</definedName>
    <definedName name="_48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111"}</definedName>
    <definedName name="_48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110"}</definedName>
    <definedName name="_48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109"}</definedName>
    <definedName name="_48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108"}</definedName>
    <definedName name="_48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107"}</definedName>
    <definedName name="_48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106"}</definedName>
    <definedName name="_48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105"}</definedName>
    <definedName name="_48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104"}</definedName>
    <definedName name="_4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103"}</definedName>
    <definedName name="_49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102"}</definedName>
    <definedName name="_49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101"}</definedName>
    <definedName name="_49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100"}</definedName>
    <definedName name="_49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99"}</definedName>
    <definedName name="_49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98"}</definedName>
    <definedName name="_49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97"}</definedName>
    <definedName name="_49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96"}</definedName>
    <definedName name="_49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95"}</definedName>
    <definedName name="_49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94"}</definedName>
    <definedName name="_4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93"}</definedName>
    <definedName name="_49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92"}</definedName>
    <definedName name="_49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91"}</definedName>
    <definedName name="_49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90"}</definedName>
    <definedName name="_49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89"}</definedName>
    <definedName name="_49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88"}</definedName>
    <definedName name="_49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87"}</definedName>
    <definedName name="_49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86"}</definedName>
    <definedName name="_49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85"}</definedName>
    <definedName name="_49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84"}</definedName>
    <definedName name="_4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83"}</definedName>
    <definedName name="_49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82"}</definedName>
    <definedName name="_49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81"}</definedName>
    <definedName name="_49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80"}</definedName>
    <definedName name="_49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79"}</definedName>
    <definedName name="_49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78"}</definedName>
    <definedName name="_49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77"}</definedName>
    <definedName name="_49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76"}</definedName>
    <definedName name="_49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75"}</definedName>
    <definedName name="_49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74"}</definedName>
    <definedName name="_4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73"}</definedName>
    <definedName name="_49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72"}</definedName>
    <definedName name="_49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71"}</definedName>
    <definedName name="_49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70"}</definedName>
    <definedName name="_49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69"}</definedName>
    <definedName name="_49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68"}</definedName>
    <definedName name="_49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67"}</definedName>
    <definedName name="_49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66"}</definedName>
    <definedName name="_49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65"}</definedName>
    <definedName name="_49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64"}</definedName>
    <definedName name="_4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63"}</definedName>
    <definedName name="_49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62"}</definedName>
    <definedName name="_49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61"}</definedName>
    <definedName name="_49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60"}</definedName>
    <definedName name="_49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59"}</definedName>
    <definedName name="_49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58"}</definedName>
    <definedName name="_49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57"}</definedName>
    <definedName name="_49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56"}</definedName>
    <definedName name="_49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55"}</definedName>
    <definedName name="_49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54"}</definedName>
    <definedName name="_4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53"}</definedName>
    <definedName name="_49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52"}</definedName>
    <definedName name="_49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51"}</definedName>
    <definedName name="_49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50"}</definedName>
    <definedName name="_49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49"}</definedName>
    <definedName name="_49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48"}</definedName>
    <definedName name="_49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47"}</definedName>
    <definedName name="_49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46"}</definedName>
    <definedName name="_49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45"}</definedName>
    <definedName name="_49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44"}</definedName>
    <definedName name="_4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43"}</definedName>
    <definedName name="_49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42"}</definedName>
    <definedName name="_49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41"}</definedName>
    <definedName name="_49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40"}</definedName>
    <definedName name="_49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39"}</definedName>
    <definedName name="_49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38"}</definedName>
    <definedName name="_49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37"}</definedName>
    <definedName name="_49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36"}</definedName>
    <definedName name="_49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35"}</definedName>
    <definedName name="_49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34"}</definedName>
    <definedName name="_4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33"}</definedName>
    <definedName name="_49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definedName>
    <definedName name="_49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definedName>
    <definedName name="_49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definedName>
    <definedName name="_49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definedName>
    <definedName name="_49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definedName>
    <definedName name="_49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definedName>
    <definedName name="_49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definedName>
    <definedName name="_49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definedName>
    <definedName name="_49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definedName>
    <definedName name="_4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definedName>
    <definedName name="_49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definedName>
    <definedName name="_49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definedName>
    <definedName name="_49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definedName>
    <definedName name="_49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definedName>
    <definedName name="_49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definedName>
    <definedName name="_49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definedName>
    <definedName name="_49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definedName>
    <definedName name="_49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definedName>
    <definedName name="_49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definedName>
    <definedName name="_4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definedName>
    <definedName name="_49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definedName>
    <definedName name="_49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definedName>
    <definedName name="_49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definedName>
    <definedName name="_49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definedName>
    <definedName name="_49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definedName>
    <definedName name="_49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definedName>
    <definedName name="_49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definedName>
    <definedName name="_49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definedName>
    <definedName name="_49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definedName>
    <definedName name="_5__123Graph_ACHART_5" localSheetId="1" hidden="1">[2]AnnualData!#REF!</definedName>
    <definedName name="_5__123Graph_ACHART_5" hidden="1">[2]AnnualData!#REF!</definedName>
    <definedName name="_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definedName>
    <definedName name="_50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definedName>
    <definedName name="_50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definedName>
    <definedName name="_50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326"}</definedName>
    <definedName name="_50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325"}</definedName>
    <definedName name="_50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324"}</definedName>
    <definedName name="_50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323"}</definedName>
    <definedName name="_50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322"}</definedName>
    <definedName name="_50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321"}</definedName>
    <definedName name="_50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320"}</definedName>
    <definedName name="_5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319"}</definedName>
    <definedName name="_50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318"}</definedName>
    <definedName name="_50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317"}</definedName>
    <definedName name="_50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316"}</definedName>
    <definedName name="_50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315"}</definedName>
    <definedName name="_50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314"}</definedName>
    <definedName name="_50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313"}</definedName>
    <definedName name="_50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312"}</definedName>
    <definedName name="_50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311"}</definedName>
    <definedName name="_50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310"}</definedName>
    <definedName name="_5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309"}</definedName>
    <definedName name="_50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308"}</definedName>
    <definedName name="_50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307"}</definedName>
    <definedName name="_50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306"}</definedName>
    <definedName name="_50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305"}</definedName>
    <definedName name="_50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304"}</definedName>
    <definedName name="_50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303"}</definedName>
    <definedName name="_50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302"}</definedName>
    <definedName name="_50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301"}</definedName>
    <definedName name="_50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300"}</definedName>
    <definedName name="_5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299"}</definedName>
    <definedName name="_50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298"}</definedName>
    <definedName name="_50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297"}</definedName>
    <definedName name="_50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296"}</definedName>
    <definedName name="_50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295"}</definedName>
    <definedName name="_50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294"}</definedName>
    <definedName name="_50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293"}</definedName>
    <definedName name="_50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292"}</definedName>
    <definedName name="_50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291"}</definedName>
    <definedName name="_50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290"}</definedName>
    <definedName name="_5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289"}</definedName>
    <definedName name="_50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288"}</definedName>
    <definedName name="_50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287"}</definedName>
    <definedName name="_50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286"}</definedName>
    <definedName name="_50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285"}</definedName>
    <definedName name="_50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284"}</definedName>
    <definedName name="_50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283"}</definedName>
    <definedName name="_50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282"}</definedName>
    <definedName name="_50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281"}</definedName>
    <definedName name="_50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280"}</definedName>
    <definedName name="_5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279"}</definedName>
    <definedName name="_50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278"}</definedName>
    <definedName name="_50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277"}</definedName>
    <definedName name="_50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276"}</definedName>
    <definedName name="_50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275"}</definedName>
    <definedName name="_50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274"}</definedName>
    <definedName name="_50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273"}</definedName>
    <definedName name="_50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272"}</definedName>
    <definedName name="_50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271"}</definedName>
    <definedName name="_50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270"}</definedName>
    <definedName name="_5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269"}</definedName>
    <definedName name="_50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268"}</definedName>
    <definedName name="_50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267"}</definedName>
    <definedName name="_50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266"}</definedName>
    <definedName name="_50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265"}</definedName>
    <definedName name="_50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264"}</definedName>
    <definedName name="_50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263"}</definedName>
    <definedName name="_50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262"}</definedName>
    <definedName name="_50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261"}</definedName>
    <definedName name="_50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260"}</definedName>
    <definedName name="_5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259"}</definedName>
    <definedName name="_50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258"}</definedName>
    <definedName name="_50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257"}</definedName>
    <definedName name="_50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256"}</definedName>
    <definedName name="_50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255"}</definedName>
    <definedName name="_50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254"}</definedName>
    <definedName name="_50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253"}</definedName>
    <definedName name="_50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252"}</definedName>
    <definedName name="_50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251"}</definedName>
    <definedName name="_50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250"}</definedName>
    <definedName name="_5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249"}</definedName>
    <definedName name="_50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248"}</definedName>
    <definedName name="_50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247"}</definedName>
    <definedName name="_50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246"}</definedName>
    <definedName name="_50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245"}</definedName>
    <definedName name="_50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244"}</definedName>
    <definedName name="_50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243"}</definedName>
    <definedName name="_50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242"}</definedName>
    <definedName name="_50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241"}</definedName>
    <definedName name="_50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240"}</definedName>
    <definedName name="_5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239"}</definedName>
    <definedName name="_50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238"}</definedName>
    <definedName name="_50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237"}</definedName>
    <definedName name="_50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236"}</definedName>
    <definedName name="_50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235"}</definedName>
    <definedName name="_50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234"}</definedName>
    <definedName name="_50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233"}</definedName>
    <definedName name="_50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232"}</definedName>
    <definedName name="_50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231"}</definedName>
    <definedName name="_50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230"}</definedName>
    <definedName name="_5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229"}</definedName>
    <definedName name="_51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228"}</definedName>
    <definedName name="_51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227"}</definedName>
    <definedName name="_51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226"}</definedName>
    <definedName name="_51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225"}</definedName>
    <definedName name="_51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224"}</definedName>
    <definedName name="_51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223"}</definedName>
    <definedName name="_51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222"}</definedName>
    <definedName name="_51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221"}</definedName>
    <definedName name="_51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220"}</definedName>
    <definedName name="_5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219"}</definedName>
    <definedName name="_51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218"}</definedName>
    <definedName name="_51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217"}</definedName>
    <definedName name="_51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216"}</definedName>
    <definedName name="_51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215"}</definedName>
    <definedName name="_51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214"}</definedName>
    <definedName name="_51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213"}</definedName>
    <definedName name="_51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212"}</definedName>
    <definedName name="_51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211"}</definedName>
    <definedName name="_51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210"}</definedName>
    <definedName name="_5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209"}</definedName>
    <definedName name="_51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208"}</definedName>
    <definedName name="_51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207"}</definedName>
    <definedName name="_51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206"}</definedName>
    <definedName name="_51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205"}</definedName>
    <definedName name="_51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204"}</definedName>
    <definedName name="_51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203"}</definedName>
    <definedName name="_51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202"}</definedName>
    <definedName name="_51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201"}</definedName>
    <definedName name="_51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200"}</definedName>
    <definedName name="_5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199"}</definedName>
    <definedName name="_51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198"}</definedName>
    <definedName name="_51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197"}</definedName>
    <definedName name="_51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196"}</definedName>
    <definedName name="_51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195"}</definedName>
    <definedName name="_51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194"}</definedName>
    <definedName name="_51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193"}</definedName>
    <definedName name="_51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192"}</definedName>
    <definedName name="_51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191"}</definedName>
    <definedName name="_51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190"}</definedName>
    <definedName name="_5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189"}</definedName>
    <definedName name="_51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188"}</definedName>
    <definedName name="_51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187"}</definedName>
    <definedName name="_51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186"}</definedName>
    <definedName name="_51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185"}</definedName>
    <definedName name="_51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184"}</definedName>
    <definedName name="_51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183"}</definedName>
    <definedName name="_51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182"}</definedName>
    <definedName name="_51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181"}</definedName>
    <definedName name="_51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180"}</definedName>
    <definedName name="_5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179"}</definedName>
    <definedName name="_51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178"}</definedName>
    <definedName name="_51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177"}</definedName>
    <definedName name="_51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176"}</definedName>
    <definedName name="_51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175"}</definedName>
    <definedName name="_51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174"}</definedName>
    <definedName name="_51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173"}</definedName>
    <definedName name="_51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172"}</definedName>
    <definedName name="_51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171"}</definedName>
    <definedName name="_51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170"}</definedName>
    <definedName name="_5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169"}</definedName>
    <definedName name="_51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168"}</definedName>
    <definedName name="_51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167"}</definedName>
    <definedName name="_51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166"}</definedName>
    <definedName name="_51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165"}</definedName>
    <definedName name="_51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164"}</definedName>
    <definedName name="_51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163"}</definedName>
    <definedName name="_51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162"}</definedName>
    <definedName name="_51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161"}</definedName>
    <definedName name="_51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160"}</definedName>
    <definedName name="_5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159"}</definedName>
    <definedName name="_51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158"}</definedName>
    <definedName name="_51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157"}</definedName>
    <definedName name="_51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156"}</definedName>
    <definedName name="_51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155"}</definedName>
    <definedName name="_51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154"}</definedName>
    <definedName name="_51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153"}</definedName>
    <definedName name="_51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152"}</definedName>
    <definedName name="_51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151"}</definedName>
    <definedName name="_51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150"}</definedName>
    <definedName name="_5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149"}</definedName>
    <definedName name="_51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148"}</definedName>
    <definedName name="_51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147"}</definedName>
    <definedName name="_51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146"}</definedName>
    <definedName name="_51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145"}</definedName>
    <definedName name="_51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144"}</definedName>
    <definedName name="_51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143"}</definedName>
    <definedName name="_51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142"}</definedName>
    <definedName name="_51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141"}</definedName>
    <definedName name="_51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140"}</definedName>
    <definedName name="_5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139"}</definedName>
    <definedName name="_51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138"}</definedName>
    <definedName name="_51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137"}</definedName>
    <definedName name="_51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136"}</definedName>
    <definedName name="_51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135"}</definedName>
    <definedName name="_51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134"}</definedName>
    <definedName name="_51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133"}</definedName>
    <definedName name="_51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132"}</definedName>
    <definedName name="_51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131"}</definedName>
    <definedName name="_51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130"}</definedName>
    <definedName name="_5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129"}</definedName>
    <definedName name="_52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128"}</definedName>
    <definedName name="_52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127"}</definedName>
    <definedName name="_52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126"}</definedName>
    <definedName name="_52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125"}</definedName>
    <definedName name="_52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124"}</definedName>
    <definedName name="_52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123"}</definedName>
    <definedName name="_52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122"}</definedName>
    <definedName name="_52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121"}</definedName>
    <definedName name="_52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120"}</definedName>
    <definedName name="_5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119"}</definedName>
    <definedName name="_52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118"}</definedName>
    <definedName name="_52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117"}</definedName>
    <definedName name="_52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116"}</definedName>
    <definedName name="_52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115"}</definedName>
    <definedName name="_52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114"}</definedName>
    <definedName name="_52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113"}</definedName>
    <definedName name="_52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112"}</definedName>
    <definedName name="_52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111"}</definedName>
    <definedName name="_52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110"}</definedName>
    <definedName name="_5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109"}</definedName>
    <definedName name="_52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108"}</definedName>
    <definedName name="_52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107"}</definedName>
    <definedName name="_52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106"}</definedName>
    <definedName name="_52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105"}</definedName>
    <definedName name="_52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104"}</definedName>
    <definedName name="_52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103"}</definedName>
    <definedName name="_52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102"}</definedName>
    <definedName name="_52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101"}</definedName>
    <definedName name="_52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100"}</definedName>
    <definedName name="_5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99"}</definedName>
    <definedName name="_52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98"}</definedName>
    <definedName name="_52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97"}</definedName>
    <definedName name="_52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96"}</definedName>
    <definedName name="_52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95"}</definedName>
    <definedName name="_52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94"}</definedName>
    <definedName name="_52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93"}</definedName>
    <definedName name="_52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92"}</definedName>
    <definedName name="_52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91"}</definedName>
    <definedName name="_52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90"}</definedName>
    <definedName name="_5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89"}</definedName>
    <definedName name="_52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88"}</definedName>
    <definedName name="_52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87"}</definedName>
    <definedName name="_52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86"}</definedName>
    <definedName name="_52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85"}</definedName>
    <definedName name="_52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84"}</definedName>
    <definedName name="_52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83"}</definedName>
    <definedName name="_52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82"}</definedName>
    <definedName name="_52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81"}</definedName>
    <definedName name="_52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80"}</definedName>
    <definedName name="_5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79"}</definedName>
    <definedName name="_52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78"}</definedName>
    <definedName name="_52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77"}</definedName>
    <definedName name="_52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76"}</definedName>
    <definedName name="_52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75"}</definedName>
    <definedName name="_52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74"}</definedName>
    <definedName name="_52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73"}</definedName>
    <definedName name="_52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72"}</definedName>
    <definedName name="_52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71"}</definedName>
    <definedName name="_52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70"}</definedName>
    <definedName name="_5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69"}</definedName>
    <definedName name="_52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68"}</definedName>
    <definedName name="_52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67"}</definedName>
    <definedName name="_52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66"}</definedName>
    <definedName name="_52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65"}</definedName>
    <definedName name="_52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64"}</definedName>
    <definedName name="_52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63"}</definedName>
    <definedName name="_52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62"}</definedName>
    <definedName name="_52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61"}</definedName>
    <definedName name="_52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60"}</definedName>
    <definedName name="_5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59"}</definedName>
    <definedName name="_52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58"}</definedName>
    <definedName name="_52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57"}</definedName>
    <definedName name="_52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56"}</definedName>
    <definedName name="_52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55"}</definedName>
    <definedName name="_52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54"}</definedName>
    <definedName name="_52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53"}</definedName>
    <definedName name="_52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52"}</definedName>
    <definedName name="_52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51"}</definedName>
    <definedName name="_52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50"}</definedName>
    <definedName name="_5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49"}</definedName>
    <definedName name="_52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48"}</definedName>
    <definedName name="_52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47"}</definedName>
    <definedName name="_52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46"}</definedName>
    <definedName name="_52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45"}</definedName>
    <definedName name="_52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44"}</definedName>
    <definedName name="_52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43"}</definedName>
    <definedName name="_52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42"}</definedName>
    <definedName name="_52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41"}</definedName>
    <definedName name="_52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40"}</definedName>
    <definedName name="_5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39"}</definedName>
    <definedName name="_52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38"}</definedName>
    <definedName name="_52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37"}</definedName>
    <definedName name="_52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36"}</definedName>
    <definedName name="_52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35"}</definedName>
    <definedName name="_52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34"}</definedName>
    <definedName name="_52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33"}</definedName>
    <definedName name="_52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definedName>
    <definedName name="_52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definedName>
    <definedName name="_52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definedName>
    <definedName name="_5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definedName>
    <definedName name="_53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definedName>
    <definedName name="_53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definedName>
    <definedName name="_53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definedName>
    <definedName name="_53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definedName>
    <definedName name="_53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definedName>
    <definedName name="_53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definedName>
    <definedName name="_53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definedName>
    <definedName name="_53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definedName>
    <definedName name="_53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definedName>
    <definedName name="_5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definedName>
    <definedName name="_53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definedName>
    <definedName name="_53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definedName>
    <definedName name="_53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definedName>
    <definedName name="_53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definedName>
    <definedName name="_53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definedName>
    <definedName name="_53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definedName>
    <definedName name="_53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definedName>
    <definedName name="_53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definedName>
    <definedName name="_53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definedName>
    <definedName name="_5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definedName>
    <definedName name="_53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definedName>
    <definedName name="_53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definedName>
    <definedName name="_53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definedName>
    <definedName name="_53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definedName>
    <definedName name="_53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definedName>
    <definedName name="_53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definedName>
    <definedName name="_53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definedName>
    <definedName name="_53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definedName>
    <definedName name="_53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326"}</definedName>
    <definedName name="_5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325"}</definedName>
    <definedName name="_53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324"}</definedName>
    <definedName name="_53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323"}</definedName>
    <definedName name="_53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322"}</definedName>
    <definedName name="_53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321"}</definedName>
    <definedName name="_53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320"}</definedName>
    <definedName name="_53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319"}</definedName>
    <definedName name="_53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318"}</definedName>
    <definedName name="_53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317"}</definedName>
    <definedName name="_53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316"}</definedName>
    <definedName name="_5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315"}</definedName>
    <definedName name="_53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314"}</definedName>
    <definedName name="_53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313"}</definedName>
    <definedName name="_53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312"}</definedName>
    <definedName name="_53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311"}</definedName>
    <definedName name="_53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310"}</definedName>
    <definedName name="_53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309"}</definedName>
    <definedName name="_53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308"}</definedName>
    <definedName name="_53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307"}</definedName>
    <definedName name="_53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306"}</definedName>
    <definedName name="_5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305"}</definedName>
    <definedName name="_53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304"}</definedName>
    <definedName name="_53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303"}</definedName>
    <definedName name="_53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302"}</definedName>
    <definedName name="_53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301"}</definedName>
    <definedName name="_53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300"}</definedName>
    <definedName name="_53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299"}</definedName>
    <definedName name="_53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298"}</definedName>
    <definedName name="_53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297"}</definedName>
    <definedName name="_53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296"}</definedName>
    <definedName name="_5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295"}</definedName>
    <definedName name="_53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294"}</definedName>
    <definedName name="_53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293"}</definedName>
    <definedName name="_53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292"}</definedName>
    <definedName name="_53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291"}</definedName>
    <definedName name="_53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290"}</definedName>
    <definedName name="_53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289"}</definedName>
    <definedName name="_53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288"}</definedName>
    <definedName name="_53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287"}</definedName>
    <definedName name="_53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286"}</definedName>
    <definedName name="_5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285"}</definedName>
    <definedName name="_53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284"}</definedName>
    <definedName name="_53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283"}</definedName>
    <definedName name="_53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282"}</definedName>
    <definedName name="_53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281"}</definedName>
    <definedName name="_53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280"}</definedName>
    <definedName name="_53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279"}</definedName>
    <definedName name="_53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278"}</definedName>
    <definedName name="_53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277"}</definedName>
    <definedName name="_53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276"}</definedName>
    <definedName name="_5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275"}</definedName>
    <definedName name="_53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274"}</definedName>
    <definedName name="_53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273"}</definedName>
    <definedName name="_53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272"}</definedName>
    <definedName name="_53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271"}</definedName>
    <definedName name="_53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270"}</definedName>
    <definedName name="_53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269"}</definedName>
    <definedName name="_53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268"}</definedName>
    <definedName name="_53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267"}</definedName>
    <definedName name="_53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266"}</definedName>
    <definedName name="_5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265"}</definedName>
    <definedName name="_53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264"}</definedName>
    <definedName name="_53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263"}</definedName>
    <definedName name="_53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262"}</definedName>
    <definedName name="_53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261"}</definedName>
    <definedName name="_53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260"}</definedName>
    <definedName name="_53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259"}</definedName>
    <definedName name="_53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258"}</definedName>
    <definedName name="_53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257"}</definedName>
    <definedName name="_53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256"}</definedName>
    <definedName name="_5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255"}</definedName>
    <definedName name="_54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254"}</definedName>
    <definedName name="_54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253"}</definedName>
    <definedName name="_54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252"}</definedName>
    <definedName name="_54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251"}</definedName>
    <definedName name="_54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250"}</definedName>
    <definedName name="_54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249"}</definedName>
    <definedName name="_54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248"}</definedName>
    <definedName name="_54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247"}</definedName>
    <definedName name="_54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246"}</definedName>
    <definedName name="_5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245"}</definedName>
    <definedName name="_54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244"}</definedName>
    <definedName name="_54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243"}</definedName>
    <definedName name="_54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242"}</definedName>
    <definedName name="_54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241"}</definedName>
    <definedName name="_54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240"}</definedName>
    <definedName name="_54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239"}</definedName>
    <definedName name="_54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238"}</definedName>
    <definedName name="_54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237"}</definedName>
    <definedName name="_54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236"}</definedName>
    <definedName name="_5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235"}</definedName>
    <definedName name="_54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234"}</definedName>
    <definedName name="_54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233"}</definedName>
    <definedName name="_54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232"}</definedName>
    <definedName name="_54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231"}</definedName>
    <definedName name="_54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230"}</definedName>
    <definedName name="_54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229"}</definedName>
    <definedName name="_54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228"}</definedName>
    <definedName name="_54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227"}</definedName>
    <definedName name="_54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226"}</definedName>
    <definedName name="_5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225"}</definedName>
    <definedName name="_54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224"}</definedName>
    <definedName name="_54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223"}</definedName>
    <definedName name="_54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222"}</definedName>
    <definedName name="_54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221"}</definedName>
    <definedName name="_54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220"}</definedName>
    <definedName name="_54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219"}</definedName>
    <definedName name="_54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218"}</definedName>
    <definedName name="_54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217"}</definedName>
    <definedName name="_54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216"}</definedName>
    <definedName name="_5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215"}</definedName>
    <definedName name="_54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214"}</definedName>
    <definedName name="_54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213"}</definedName>
    <definedName name="_54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212"}</definedName>
    <definedName name="_54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211"}</definedName>
    <definedName name="_54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210"}</definedName>
    <definedName name="_54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209"}</definedName>
    <definedName name="_54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208"}</definedName>
    <definedName name="_54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207"}</definedName>
    <definedName name="_54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206"}</definedName>
    <definedName name="_5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205"}</definedName>
    <definedName name="_54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204"}</definedName>
    <definedName name="_54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203"}</definedName>
    <definedName name="_54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202"}</definedName>
    <definedName name="_54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201"}</definedName>
    <definedName name="_54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200"}</definedName>
    <definedName name="_54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199"}</definedName>
    <definedName name="_54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198"}</definedName>
    <definedName name="_54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197"}</definedName>
    <definedName name="_54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196"}</definedName>
    <definedName name="_5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195"}</definedName>
    <definedName name="_54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194"}</definedName>
    <definedName name="_54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193"}</definedName>
    <definedName name="_54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192"}</definedName>
    <definedName name="_54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191"}</definedName>
    <definedName name="_54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190"}</definedName>
    <definedName name="_54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189"}</definedName>
    <definedName name="_54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188"}</definedName>
    <definedName name="_54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187"}</definedName>
    <definedName name="_54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186"}</definedName>
    <definedName name="_5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185"}</definedName>
    <definedName name="_54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184"}</definedName>
    <definedName name="_54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183"}</definedName>
    <definedName name="_54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182"}</definedName>
    <definedName name="_54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181"}</definedName>
    <definedName name="_54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180"}</definedName>
    <definedName name="_54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179"}</definedName>
    <definedName name="_54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178"}</definedName>
    <definedName name="_54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177"}</definedName>
    <definedName name="_54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176"}</definedName>
    <definedName name="_5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175"}</definedName>
    <definedName name="_54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174"}</definedName>
    <definedName name="_54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173"}</definedName>
    <definedName name="_54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172"}</definedName>
    <definedName name="_54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171"}</definedName>
    <definedName name="_54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170"}</definedName>
    <definedName name="_54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169"}</definedName>
    <definedName name="_54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168"}</definedName>
    <definedName name="_54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167"}</definedName>
    <definedName name="_54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166"}</definedName>
    <definedName name="_5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165"}</definedName>
    <definedName name="_54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164"}</definedName>
    <definedName name="_54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163"}</definedName>
    <definedName name="_54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162"}</definedName>
    <definedName name="_54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161"}</definedName>
    <definedName name="_54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160"}</definedName>
    <definedName name="_54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159"}</definedName>
    <definedName name="_54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158"}</definedName>
    <definedName name="_54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157"}</definedName>
    <definedName name="_54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156"}</definedName>
    <definedName name="_5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155"}</definedName>
    <definedName name="_55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154"}</definedName>
    <definedName name="_55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153"}</definedName>
    <definedName name="_55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152"}</definedName>
    <definedName name="_55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151"}</definedName>
    <definedName name="_55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150"}</definedName>
    <definedName name="_55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149"}</definedName>
    <definedName name="_55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148"}</definedName>
    <definedName name="_55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147"}</definedName>
    <definedName name="_55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146"}</definedName>
    <definedName name="_5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145"}</definedName>
    <definedName name="_55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144"}</definedName>
    <definedName name="_55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143"}</definedName>
    <definedName name="_55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142"}</definedName>
    <definedName name="_55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141"}</definedName>
    <definedName name="_55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140"}</definedName>
    <definedName name="_55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139"}</definedName>
    <definedName name="_55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138"}</definedName>
    <definedName name="_55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137"}</definedName>
    <definedName name="_55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136"}</definedName>
    <definedName name="_5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135"}</definedName>
    <definedName name="_55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134"}</definedName>
    <definedName name="_55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133"}</definedName>
    <definedName name="_55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132"}</definedName>
    <definedName name="_55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131"}</definedName>
    <definedName name="_55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130"}</definedName>
    <definedName name="_55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129"}</definedName>
    <definedName name="_55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128"}</definedName>
    <definedName name="_55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127"}</definedName>
    <definedName name="_55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126"}</definedName>
    <definedName name="_5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125"}</definedName>
    <definedName name="_55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124"}</definedName>
    <definedName name="_55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123"}</definedName>
    <definedName name="_55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122"}</definedName>
    <definedName name="_55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121"}</definedName>
    <definedName name="_55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120"}</definedName>
    <definedName name="_55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119"}</definedName>
    <definedName name="_55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118"}</definedName>
    <definedName name="_55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117"}</definedName>
    <definedName name="_55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116"}</definedName>
    <definedName name="_5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115"}</definedName>
    <definedName name="_55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114"}</definedName>
    <definedName name="_55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113"}</definedName>
    <definedName name="_55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112"}</definedName>
    <definedName name="_55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111"}</definedName>
    <definedName name="_55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110"}</definedName>
    <definedName name="_55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109"}</definedName>
    <definedName name="_55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108"}</definedName>
    <definedName name="_55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107"}</definedName>
    <definedName name="_55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106"}</definedName>
    <definedName name="_5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105"}</definedName>
    <definedName name="_55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104"}</definedName>
    <definedName name="_55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103"}</definedName>
    <definedName name="_55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102"}</definedName>
    <definedName name="_55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101"}</definedName>
    <definedName name="_55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100"}</definedName>
    <definedName name="_55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99"}</definedName>
    <definedName name="_55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98"}</definedName>
    <definedName name="_55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97"}</definedName>
    <definedName name="_55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96"}</definedName>
    <definedName name="_5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95"}</definedName>
    <definedName name="_55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94"}</definedName>
    <definedName name="_55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93"}</definedName>
    <definedName name="_55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92"}</definedName>
    <definedName name="_55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91"}</definedName>
    <definedName name="_55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90"}</definedName>
    <definedName name="_55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89"}</definedName>
    <definedName name="_55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88"}</definedName>
    <definedName name="_55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87"}</definedName>
    <definedName name="_55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86"}</definedName>
    <definedName name="_5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85"}</definedName>
    <definedName name="_55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84"}</definedName>
    <definedName name="_55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83"}</definedName>
    <definedName name="_55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82"}</definedName>
    <definedName name="_55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81"}</definedName>
    <definedName name="_55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80"}</definedName>
    <definedName name="_55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79"}</definedName>
    <definedName name="_55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78"}</definedName>
    <definedName name="_55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77"}</definedName>
    <definedName name="_55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76"}</definedName>
    <definedName name="_5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75"}</definedName>
    <definedName name="_55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74"}</definedName>
    <definedName name="_55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73"}</definedName>
    <definedName name="_55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72"}</definedName>
    <definedName name="_55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71"}</definedName>
    <definedName name="_55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70"}</definedName>
    <definedName name="_55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69"}</definedName>
    <definedName name="_55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68"}</definedName>
    <definedName name="_55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67"}</definedName>
    <definedName name="_55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66"}</definedName>
    <definedName name="_5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65"}</definedName>
    <definedName name="_55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64"}</definedName>
    <definedName name="_55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63"}</definedName>
    <definedName name="_55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62"}</definedName>
    <definedName name="_55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61"}</definedName>
    <definedName name="_55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60"}</definedName>
    <definedName name="_55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59"}</definedName>
    <definedName name="_55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58"}</definedName>
    <definedName name="_55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57"}</definedName>
    <definedName name="_55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56"}</definedName>
    <definedName name="_5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55"}</definedName>
    <definedName name="_56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54"}</definedName>
    <definedName name="_56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53"}</definedName>
    <definedName name="_56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52"}</definedName>
    <definedName name="_56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51"}</definedName>
    <definedName name="_56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50"}</definedName>
    <definedName name="_56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49"}</definedName>
    <definedName name="_56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48"}</definedName>
    <definedName name="_56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47"}</definedName>
    <definedName name="_56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46"}</definedName>
    <definedName name="_5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45"}</definedName>
    <definedName name="_56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44"}</definedName>
    <definedName name="_56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43"}</definedName>
    <definedName name="_56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42"}</definedName>
    <definedName name="_56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41"}</definedName>
    <definedName name="_56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40"}</definedName>
    <definedName name="_56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39"}</definedName>
    <definedName name="_56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38"}</definedName>
    <definedName name="_56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37"}</definedName>
    <definedName name="_56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36"}</definedName>
    <definedName name="_5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35"}</definedName>
    <definedName name="_56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34"}</definedName>
    <definedName name="_56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33"}</definedName>
    <definedName name="_56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definedName>
    <definedName name="_56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definedName>
    <definedName name="_56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definedName>
    <definedName name="_56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definedName>
    <definedName name="_56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definedName>
    <definedName name="_56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definedName>
    <definedName name="_56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definedName>
    <definedName name="_5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definedName>
    <definedName name="_56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definedName>
    <definedName name="_56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definedName>
    <definedName name="_56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definedName>
    <definedName name="_56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definedName>
    <definedName name="_56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definedName>
    <definedName name="_56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definedName>
    <definedName name="_56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definedName>
    <definedName name="_56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definedName>
    <definedName name="_56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definedName>
    <definedName name="_5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definedName>
    <definedName name="_56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definedName>
    <definedName name="_56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definedName>
    <definedName name="_56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definedName>
    <definedName name="_56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definedName>
    <definedName name="_56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definedName>
    <definedName name="_56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definedName>
    <definedName name="_56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definedName>
    <definedName name="_56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definedName>
    <definedName name="_56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definedName>
    <definedName name="_5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definedName>
    <definedName name="_56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definedName>
    <definedName name="_56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definedName>
    <definedName name="_56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definedName>
    <definedName name="_56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definedName>
    <definedName name="_5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__123Graph_ACHART_21A" hidden="1">#REF!</definedName>
    <definedName name="_6__123Graph_ACHART_8A" hidden="1">[4]SHELL!#REF!</definedName>
    <definedName name="_6__123Graph_BCHART_1" localSheetId="1" hidden="1">[2]AnnualData!#REF!</definedName>
    <definedName name="_6__123Graph_BCHART_1" hidden="1">[2]AnnualData!#REF!</definedName>
    <definedName name="_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__123Graph_BCHART_2" localSheetId="1" hidden="1">[2]AnnualData!#REF!</definedName>
    <definedName name="_7__123Graph_BCHART_2" hidden="1">[2]AnnualData!#REF!</definedName>
    <definedName name="_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__123Graph_BCHART_3" hidden="1">[2]AnnualData!#REF!</definedName>
    <definedName name="_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__123Graph_ACHART_8A" hidden="1">#REF!</definedName>
    <definedName name="_9__123Graph_BCHART_21A" hidden="1">[4]SHELL!#REF!</definedName>
    <definedName name="_9__123Graph_BCHART_4" hidden="1">[2]AnnualData!#REF!</definedName>
    <definedName name="_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AMO_UniqueIdentifier" hidden="1">"'2995e12c-7f92-4103-a2d1-a1d598d57c6f'"</definedName>
    <definedName name="_bdm.050D39CD650D4F2095D8D24650D7326B.edm" hidden="1">'[5]Win per Visitor'!$A:$IV</definedName>
    <definedName name="_bdm.2A10043F760B4BDFB6F9D8DB5014AD69.edm" hidden="1">'[5]Mainland China Visitors'!$A:$IV</definedName>
    <definedName name="_bdm.2f0c33c45fc4427188b658d880679d79.edm" hidden="1">#REF!</definedName>
    <definedName name="_bdm.30AE078D04674B0581A83DC0BB71CAE9.edm" hidden="1">[5]Charts2!$A:$IV</definedName>
    <definedName name="_bdm.400015F9721047F2AE12F65177C08B38.edm" hidden="1">[5]Timeline!$A:$IV</definedName>
    <definedName name="_bdm.408316A99C924475A002B539D6B19081.edm" hidden="1">#REF!</definedName>
    <definedName name="_bdm.607844024ECD4A758B546863D50AC585.edm" hidden="1">[5]Gaming!$A:$IV</definedName>
    <definedName name="_bdm.69ff8124854c477c8c8563441eacb92c.edm" hidden="1">#REF!</definedName>
    <definedName name="_bdm.6C3132C4E18240B19A2542E06B6496E8.edm" hidden="1">'[5]Gaming Detail'!$A:$IV</definedName>
    <definedName name="_bdm.7aa09ccb15674275a58594d0cd24222d.edm" hidden="1">#REF!</definedName>
    <definedName name="_bdm.9083CA28584C43EE98009F3577D43C4B.edm" hidden="1">[5]Exhibits!$A:$IV</definedName>
    <definedName name="_bdm.a484fe9deb4b45a5aa77cb80f367a57e.edm" hidden="1">#REF!</definedName>
    <definedName name="_bdm.A9747668DA694B539C05FB076C09D3D2.edm" hidden="1">#REF!</definedName>
    <definedName name="_bdm.AA02C9D3B8C541E8BBDF9C677034FBDA.edm" hidden="1">'[5]Monthly Data'!$A:$IV</definedName>
    <definedName name="_bdm.ACC583D0D3094FA89BCB4D4AEC1005C1.edm" hidden="1">[5]IVS!$A:$IV</definedName>
    <definedName name="_bdm.AE6209C86C4741CFBFB6DD9A1DBF58D1.edm" hidden="1">[5]Charts!$A:$IV</definedName>
    <definedName name="_bdm.CF80122F6E9B4FFC98957A0CF584493D.edm" hidden="1">'[5]Macau Market Share'!$A:$IV</definedName>
    <definedName name="_bdm.E0A73A124C724002A7E42D1DD632219A.edm" hidden="1">[5]Sensitivity!$A:$IV</definedName>
    <definedName name="_ct2" localSheetId="1" hidden="1">{"Qtr Op Mgd Q3",#N/A,FALSE,"Qtr-Op (Mng)";"Qtr Op Rpt Q3",#N/A,FALSE,"Qtr-Op (Rpt)";"Operating Vs Reported",#N/A,FALSE,"Rpt-Op Inc"}</definedName>
    <definedName name="_ct2" hidden="1">{"Qtr Op Mgd Q3",#N/A,FALSE,"Qtr-Op (Mng)";"Qtr Op Rpt Q3",#N/A,FALSE,"Qtr-Op (Rpt)";"Operating Vs Reported",#N/A,FALSE,"Rpt-Op Inc"}</definedName>
    <definedName name="_Fill" hidden="1">#REF!</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Order1" hidden="1">0</definedName>
    <definedName name="_Order1_1" hidden="1">255</definedName>
    <definedName name="_Order2" hidden="1">255</definedName>
    <definedName name="_Regression_Int" hidden="1">1</definedName>
    <definedName name="_Regression_Out" hidden="1">[6]ICTSI!#REF!</definedName>
    <definedName name="_Regression_X" hidden="1">[6]ICTSI!#REF!</definedName>
    <definedName name="_Regression_Y" hidden="1">[6]ICTSI!#REF!</definedName>
    <definedName name="_Table2_In1" hidden="1">#REF!</definedName>
    <definedName name="_Table2_In2" hidden="1">#REF!</definedName>
    <definedName name="AAA_DOCTOPS" hidden="1">"AAA_SET"</definedName>
    <definedName name="AAA_duser" hidden="1">"OFF"</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wvu.bal_98." hidden="1">[7]BALSHT_S!$A$1:$M$65536</definedName>
    <definedName name="ACwvu.Detail." hidden="1">'[8]Fert. &amp; Chem.'!$J$8</definedName>
    <definedName name="ACwvu.Forestry." hidden="1">[8]Bunnings!$D$384</definedName>
    <definedName name="ACwvu.Full_Year." hidden="1">[7]PE1_S!$A$1:$Z$65536</definedName>
    <definedName name="ACwvu.Merch_Summary." hidden="1">[8]Bunnings!$F$106</definedName>
    <definedName name="ACwvu.Summary." hidden="1">'[8]Fert. &amp; Chem.'!$A$35:$IV$35</definedName>
    <definedName name="ACwvu.Warehouse." hidden="1">[8]Bunnings!$G$102</definedName>
    <definedName name="ALLYXX" hidden="1">{"Page One",#N/A,FALSE,"Model";"Page 2",#N/A,FALSE,"Model";"Page 3",#N/A,FALSE,"Model"}</definedName>
    <definedName name="anscount" hidden="1">1</definedName>
    <definedName name="APWREFVTEST" hidden="1">"'='Terminal Value'!b3"</definedName>
    <definedName name="arse"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asdf"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asdfasdf" hidden="1">{"print annual inc. statement",#N/A,FALSE,"Summary";"print annual stats",#N/A,FALSE,"Summary";"print quarterly inc. statement",#N/A,FALSE,"Summary";"print quarterly stats",#N/A,FALSE,"Summary"}</definedName>
    <definedName name="asdfasdfasdf" hidden="1">{"annual",#N/A,FALSE,"Sheet2";"quarters",#N/A,FALSE,"Sheet2"}</definedName>
    <definedName name="berkshire" localSheetId="1"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B1" hidden="1">#REF!</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hidden="1">[9]bloomberg!$D$3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[9]bloomberg!$G$3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[9]bloomberg!$A$3</definedName>
    <definedName name="BLPH294" hidden="1">#REF!</definedName>
    <definedName name="BLPH3" hidden="1">#REF!</definedName>
    <definedName name="BLPH30" hidden="1">[9]bloomberg!$J$3</definedName>
    <definedName name="BLPH31" hidden="1">[9]bloomberg!$M$3</definedName>
    <definedName name="BLPH34" hidden="1">[9]bloomberg!$P$3</definedName>
    <definedName name="BLPH4" hidden="1">#REF!</definedName>
    <definedName name="BLPH5" hidden="1">#REF!</definedName>
    <definedName name="BLPH6" hidden="1">#REF!</definedName>
    <definedName name="BLPH60" hidden="1">#REF!</definedName>
    <definedName name="BLPH61"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harft" localSheetId="1" hidden="1">[2]AnnualData!#REF!</definedName>
    <definedName name="charft" hidden="1">[2]AnnualData!#REF!</definedName>
    <definedName name="chart1" localSheetId="1" hidden="1">'[1]Long Term Prices'!#REF!</definedName>
    <definedName name="chart1" hidden="1">'[1]Long Term Prices'!#REF!</definedName>
    <definedName name="charts" hidden="1">{"IND","COMPANIES",TRUE}</definedName>
    <definedName name="CIQWBGuid" hidden="1">"SCB Straumann Model.xlsm"</definedName>
    <definedName name="cu103.EmployeeScalingFactor" hidden="1">1000</definedName>
    <definedName name="cu107.EPSSymbol" hidden="1">"A$"</definedName>
    <definedName name="cu71.ScalingFactor" hidden="1">1000000</definedName>
    <definedName name="Cwvu.Full_Year." hidden="1">[7]PE1_S!$A$22:$IV$23</definedName>
    <definedName name="Cwvu.Summary." hidden="1">'[10]Fert. &amp; Chem.'!$A$16:$IV$23,'[10]Fert. &amp; Chem.'!#REF!,'[10]Fert. &amp; Chem.'!$A$46:$IV$54,'[10]Fert. &amp; Chem.'!$A$66:$IV$128</definedName>
    <definedName name="d" hidden="1">#REF!</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elete_this" hidden="1">#REF!</definedName>
    <definedName name="delete_this_2" hidden="1">#REF!</definedName>
    <definedName name="delete_this_3" hidden="1">#REF!</definedName>
    <definedName name="delete_this_4" hidden="1">#REF!</definedName>
    <definedName name="delete_this_5" hidden="1">#REF!</definedName>
    <definedName name="delete_this_6" hidden="1">#REF!</definedName>
    <definedName name="delete_this_8" hidden="1">#REF!</definedName>
    <definedName name="delete_this_9" hidden="1">#REF!</definedName>
    <definedName name="dewf" hidden="1">#REF!</definedName>
    <definedName name="DME_BeforeCloseCompleted" hidden="1">"False"</definedName>
    <definedName name="DME_Dirty" hidden="1">"False"</definedName>
    <definedName name="DME_LocalFile" hidden="1">"True"</definedName>
    <definedName name="DS" hidden="1">{"Full_Year",#N/A,FALSE,"PE1_S";#N/A,#N/A,FALSE,"DIVIS_S"}</definedName>
    <definedName name="DS_1" hidden="1">{"Full_Year",#N/A,FALSE,"PE1_S";#N/A,#N/A,FALSE,"DIVIS_S"}</definedName>
    <definedName name="DS_2" hidden="1">{"Full_Year",#N/A,FALSE,"PE1_S";#N/A,#N/A,FALSE,"DIVIS_S"}</definedName>
    <definedName name="DS_CWN" hidden="1">{"Full_Year",#N/A,FALSE,"PE1_S";#N/A,#N/A,FALSE,"DIVIS_S"}</definedName>
    <definedName name="DSHiddenYear1" hidden="1">[11]RBCCM_Valuation_Measures!$D$1</definedName>
    <definedName name="DSHiddenYear2" hidden="1">[11]RBCCM_Valuation_Measures!$E$1</definedName>
    <definedName name="DSHiddenYear3" hidden="1">[11]RBCCM_Valuation_Measures!$F$1</definedName>
    <definedName name="DSHiddenYear4" hidden="1">[11]RBCCM_Valuation_Measures!$G$1</definedName>
    <definedName name="DSIndHiddenYear1" hidden="1">[11]RBCCM_Industry_Specif!$D$1</definedName>
    <definedName name="DSIndHiddenYear2" hidden="1">[11]RBCCM_Industry_Specif!$E$1</definedName>
    <definedName name="DSIndHiddenYear3" hidden="1">[11]RBCCM_Industry_Specif!$F$1</definedName>
    <definedName name="DSIndHiddenYear4" hidden="1">[11]RBCCM_Industry_Specif!$G$1</definedName>
    <definedName name="DSIndHistHiddenYear1" localSheetId="1" hidden="1">[12]RBCCM_Industry_Specif!#REF!</definedName>
    <definedName name="DSIndHistHiddenYear1" hidden="1">[12]RBCCM_Industry_Specif!#REF!</definedName>
    <definedName name="DSIndHistHiddenYear2" localSheetId="1" hidden="1">[12]RBCCM_Industry_Specif!#REF!</definedName>
    <definedName name="DSIndHistHiddenYear2" hidden="1">[12]RBCCM_Industry_Specif!#REF!</definedName>
    <definedName name="DSIndHistHiddenYear3" localSheetId="1" hidden="1">[12]RBCCM_Industry_Specif!#REF!</definedName>
    <definedName name="DSIndHistHiddenYear3" hidden="1">[12]RBCCM_Industry_Specif!#REF!</definedName>
    <definedName name="DSIndHistHiddenYear4" hidden="1">[11]RBCCM_Industry_Specif!$B$1</definedName>
    <definedName name="DSIndHistHiddenYear5" hidden="1">[11]RBCCM_Industry_Specif!$C$1</definedName>
    <definedName name="ege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esnrc100c1_values" hidden="1">{"FTSE100","COMPANIES",TRUE}</definedName>
    <definedName name="esnrc100c1_values_1" hidden="1">{"FTSE100","COMPANIES",TRUE}</definedName>
    <definedName name="esnrc100c1_values_2" hidden="1">{"FTSE100","COMPANIES",TRUE}</definedName>
    <definedName name="esnrc33c1_values" hidden="1">{"EUMOT","COMPANIES",TRUE}</definedName>
    <definedName name="esnrc33c1_values_1" hidden="1">{"EUMOT","COMPANIES",TRUE}</definedName>
    <definedName name="esnrc33c1_values_2" hidden="1">{"EUMOT","COMPANIES",TRUE}</definedName>
    <definedName name="esnrc56c1_values" hidden="1">{"ASCONGRP","COMPANIES",TRUE}</definedName>
    <definedName name="esnrc56c1_values_1" hidden="1">{"ASCONGRP","COMPANIES",TRUE}</definedName>
    <definedName name="esnrc56c1_values_2" hidden="1">{"ASCONGRP","COMPANIES",TRUE}</definedName>
    <definedName name="esnrc63c1_values" hidden="1">{"EUUTIGRP","COMPANIES",TRUE}</definedName>
    <definedName name="esnrc63c1_values_1" hidden="1">{"EUUTIGRP","COMPANIES",TRUE}</definedName>
    <definedName name="esnrc63c1_values_2" hidden="1">{"EUUTIGRP","COMPANIES",TRUE}</definedName>
    <definedName name="esnrc65c1_values" hidden="1">{"IND","COMPANIES",TRUE}</definedName>
    <definedName name="esnrc65c1_values_1" hidden="1">{"IND","COMPANIES",TRUE}</definedName>
    <definedName name="esnrc65c1_values_2" hidden="1">{"IND","COMPANIES",TRUE}</definedName>
    <definedName name="esnrc65c1_values_CWN" hidden="1">{"IND","COMPANIES",TRUE}</definedName>
    <definedName name="esnrc65c2_values" hidden="1">{"IND","COMPANIES",TRUE}</definedName>
    <definedName name="esnrc65c2_values_1" hidden="1">{"IND","COMPANIES",TRUE}</definedName>
    <definedName name="esnrc65c2_values_2" hidden="1">{"IND","COMPANIES",TRUE}</definedName>
    <definedName name="esnrc65c2_values_CWN" hidden="1">{"IND","COMPANIES",TRUE}</definedName>
    <definedName name="esnrc91c1_values" hidden="1">{"EUUTI","COMPANIES",TRUE}</definedName>
    <definedName name="esnrc91c1_values_1" hidden="1">{"EUUTI","COMPANIES",TRUE}</definedName>
    <definedName name="esnrc91c1_values_2" hidden="1">{"EUUTI","COMPANIES",TRUE}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0_1_aDrv" hidden="1">#REF!</definedName>
    <definedName name="FDP_0_1_aUrv" localSheetId="1" hidden="1">#REF!</definedName>
    <definedName name="FDP_0_1_aUrv" hidden="1">#REF!</definedName>
    <definedName name="FDP_1_1_aDrv" hidden="1">#REF!</definedName>
    <definedName name="FDP_1_1_aUrv" localSheetId="1" hidden="1">#REF!</definedName>
    <definedName name="FDP_1_1_aUrv" hidden="1">#REF!</definedName>
    <definedName name="FDP_10_1_aDrv" localSheetId="1" hidden="1">#REF!</definedName>
    <definedName name="FDP_10_1_aDrv" hidden="1">#REF!</definedName>
    <definedName name="FDP_100_1_aUrv" localSheetId="1" hidden="1">#REF!</definedName>
    <definedName name="FDP_100_1_aUrv" hidden="1">#REF!</definedName>
    <definedName name="FDP_101_1_aUrv" localSheetId="1" hidden="1">#REF!</definedName>
    <definedName name="FDP_101_1_aUrv" hidden="1">#REF!</definedName>
    <definedName name="FDP_102_1_aUrv" localSheetId="1" hidden="1">#REF!</definedName>
    <definedName name="FDP_102_1_aUrv" hidden="1">#REF!</definedName>
    <definedName name="FDP_103_1_aUrv" localSheetId="1" hidden="1">#REF!</definedName>
    <definedName name="FDP_103_1_aUrv" hidden="1">#REF!</definedName>
    <definedName name="FDP_104_1_aUrv" localSheetId="1" hidden="1">#REF!</definedName>
    <definedName name="FDP_104_1_aUrv" hidden="1">#REF!</definedName>
    <definedName name="FDP_105_1_aUrv" localSheetId="1" hidden="1">#REF!</definedName>
    <definedName name="FDP_105_1_aUrv" hidden="1">#REF!</definedName>
    <definedName name="FDP_106_1_aUrv" localSheetId="1" hidden="1">#REF!</definedName>
    <definedName name="FDP_106_1_aUrv" hidden="1">#REF!</definedName>
    <definedName name="FDP_108_1_aUrv" localSheetId="1" hidden="1">#REF!</definedName>
    <definedName name="FDP_108_1_aUrv" hidden="1">#REF!</definedName>
    <definedName name="FDP_109_1_aUrv" localSheetId="1" hidden="1">#REF!</definedName>
    <definedName name="FDP_109_1_aUrv" hidden="1">#REF!</definedName>
    <definedName name="FDP_11_1_aUrv" localSheetId="1" hidden="1">#REF!</definedName>
    <definedName name="FDP_11_1_aUrv" hidden="1">#REF!</definedName>
    <definedName name="FDP_110_1_aUrv" localSheetId="1" hidden="1">#REF!</definedName>
    <definedName name="FDP_110_1_aUrv" hidden="1">#REF!</definedName>
    <definedName name="FDP_111_1_aUrv" localSheetId="1" hidden="1">#REF!</definedName>
    <definedName name="FDP_111_1_aUrv" hidden="1">#REF!</definedName>
    <definedName name="FDP_112_1_aUrv" localSheetId="1" hidden="1">#REF!</definedName>
    <definedName name="FDP_112_1_aUrv" hidden="1">#REF!</definedName>
    <definedName name="FDP_113_1_aUrv" localSheetId="1" hidden="1">#REF!</definedName>
    <definedName name="FDP_113_1_aUrv" hidden="1">#REF!</definedName>
    <definedName name="FDP_114_1_aUrv" localSheetId="1" hidden="1">#REF!</definedName>
    <definedName name="FDP_114_1_aUrv" hidden="1">#REF!</definedName>
    <definedName name="FDP_115_1_aUrv" localSheetId="1" hidden="1">#REF!</definedName>
    <definedName name="FDP_115_1_aUrv" hidden="1">#REF!</definedName>
    <definedName name="FDP_116_1_aUrv" localSheetId="1" hidden="1">#REF!</definedName>
    <definedName name="FDP_116_1_aUrv" hidden="1">#REF!</definedName>
    <definedName name="FDP_117_1_aUrv" localSheetId="1" hidden="1">#REF!</definedName>
    <definedName name="FDP_117_1_aUrv" hidden="1">#REF!</definedName>
    <definedName name="FDP_118_1_aUrv" localSheetId="1" hidden="1">#REF!</definedName>
    <definedName name="FDP_118_1_aUrv" hidden="1">#REF!</definedName>
    <definedName name="FDP_119_1_aUrv" localSheetId="1" hidden="1">#REF!</definedName>
    <definedName name="FDP_119_1_aUrv" hidden="1">#REF!</definedName>
    <definedName name="FDP_12_1_aDrv" hidden="1">#REF!</definedName>
    <definedName name="FDP_12_1_aUrv" localSheetId="1" hidden="1">#REF!</definedName>
    <definedName name="FDP_12_1_aUrv" hidden="1">#REF!</definedName>
    <definedName name="FDP_120_1_aUrv" localSheetId="1" hidden="1">#REF!</definedName>
    <definedName name="FDP_120_1_aUrv" hidden="1">#REF!</definedName>
    <definedName name="FDP_121_1_aUrv" localSheetId="1" hidden="1">#REF!</definedName>
    <definedName name="FDP_121_1_aUrv" hidden="1">#REF!</definedName>
    <definedName name="FDP_124_1_aUrv" localSheetId="1" hidden="1">#REF!</definedName>
    <definedName name="FDP_124_1_aUrv" hidden="1">#REF!</definedName>
    <definedName name="FDP_125_1_aUrv" localSheetId="1" hidden="1">#REF!</definedName>
    <definedName name="FDP_125_1_aUrv" hidden="1">#REF!</definedName>
    <definedName name="FDP_126_1_aUrv" localSheetId="1" hidden="1">#REF!</definedName>
    <definedName name="FDP_126_1_aUrv" hidden="1">#REF!</definedName>
    <definedName name="FDP_127_1_aUrv" localSheetId="1" hidden="1">#REF!</definedName>
    <definedName name="FDP_127_1_aUrv" hidden="1">#REF!</definedName>
    <definedName name="FDP_128_1_aUrv" localSheetId="1" hidden="1">#REF!</definedName>
    <definedName name="FDP_128_1_aUrv" hidden="1">#REF!</definedName>
    <definedName name="FDP_129_1_aUrv" localSheetId="1" hidden="1">#REF!</definedName>
    <definedName name="FDP_129_1_aUrv" hidden="1">#REF!</definedName>
    <definedName name="FDP_13_1_aDrv" hidden="1">#REF!</definedName>
    <definedName name="FDP_13_1_aUrv" localSheetId="1" hidden="1">#REF!</definedName>
    <definedName name="FDP_13_1_aUrv" hidden="1">#REF!</definedName>
    <definedName name="FDP_130_1_aUrv" localSheetId="1" hidden="1">#REF!</definedName>
    <definedName name="FDP_130_1_aUrv" hidden="1">#REF!</definedName>
    <definedName name="FDP_131_1_aUrv" hidden="1">#REF!</definedName>
    <definedName name="FDP_132_1_aUrv" localSheetId="1" hidden="1">#REF!</definedName>
    <definedName name="FDP_132_1_aUrv" hidden="1">#REF!</definedName>
    <definedName name="FDP_133_1_aUrv" localSheetId="1" hidden="1">#REF!</definedName>
    <definedName name="FDP_133_1_aUrv" hidden="1">#REF!</definedName>
    <definedName name="FDP_134_1_aUrv" localSheetId="1" hidden="1">#REF!</definedName>
    <definedName name="FDP_134_1_aUrv" hidden="1">#REF!</definedName>
    <definedName name="FDP_135_1_aUrv" localSheetId="1" hidden="1">#REF!</definedName>
    <definedName name="FDP_135_1_aUrv" hidden="1">#REF!</definedName>
    <definedName name="FDP_136_1_aUrv" localSheetId="1" hidden="1">#REF!</definedName>
    <definedName name="FDP_136_1_aUrv" hidden="1">#REF!</definedName>
    <definedName name="FDP_137_1_aUrv" localSheetId="1" hidden="1">#REF!</definedName>
    <definedName name="FDP_137_1_aUrv" hidden="1">#REF!</definedName>
    <definedName name="FDP_138_1_aUrv" hidden="1">#REF!</definedName>
    <definedName name="FDP_139_1_aSrv" localSheetId="1" hidden="1">#REF!</definedName>
    <definedName name="FDP_139_1_aSrv" hidden="1">#REF!</definedName>
    <definedName name="FDP_139_1_aUrv" hidden="1">#REF!</definedName>
    <definedName name="FDP_14_1_aDrv" hidden="1">#REF!</definedName>
    <definedName name="FDP_14_1_aUrv" localSheetId="1" hidden="1">#REF!</definedName>
    <definedName name="FDP_14_1_aUrv" hidden="1">#REF!</definedName>
    <definedName name="FDP_140_1_aUrv" localSheetId="1" hidden="1">#REF!</definedName>
    <definedName name="FDP_140_1_aUrv" hidden="1">#REF!</definedName>
    <definedName name="FDP_141_1_aUrv" localSheetId="1" hidden="1">#REF!</definedName>
    <definedName name="FDP_141_1_aUrv" hidden="1">#REF!</definedName>
    <definedName name="FDP_142_1_aUrv" localSheetId="1" hidden="1">#REF!</definedName>
    <definedName name="FDP_142_1_aUrv" hidden="1">#REF!</definedName>
    <definedName name="FDP_143_1_aUrv" localSheetId="1" hidden="1">#REF!</definedName>
    <definedName name="FDP_143_1_aUrv" hidden="1">#REF!</definedName>
    <definedName name="FDP_144_1_aUrv" localSheetId="1" hidden="1">#REF!</definedName>
    <definedName name="FDP_144_1_aUrv" hidden="1">#REF!</definedName>
    <definedName name="FDP_145_1_aUrv" localSheetId="1" hidden="1">#REF!</definedName>
    <definedName name="FDP_145_1_aUrv" hidden="1">#REF!</definedName>
    <definedName name="FDP_146_1_aDrv" hidden="1">#REF!</definedName>
    <definedName name="FDP_146_1_aUrv" localSheetId="1" hidden="1">#REF!</definedName>
    <definedName name="FDP_146_1_aUrv" hidden="1">#REF!</definedName>
    <definedName name="FDP_147_1_aUrv" localSheetId="1" hidden="1">#REF!</definedName>
    <definedName name="FDP_147_1_aUrv" hidden="1">#REF!</definedName>
    <definedName name="FDP_148_1_aUrv" localSheetId="1" hidden="1">#REF!</definedName>
    <definedName name="FDP_148_1_aUrv" hidden="1">#REF!</definedName>
    <definedName name="FDP_149_1_aUrv" localSheetId="1" hidden="1">#REF!</definedName>
    <definedName name="FDP_149_1_aUrv" hidden="1">#REF!</definedName>
    <definedName name="FDP_15_1_aDrv" hidden="1">#REF!</definedName>
    <definedName name="FDP_150_1_aUrv" hidden="1">#REF!</definedName>
    <definedName name="FDP_151_1_aUrv" localSheetId="1" hidden="1">#REF!</definedName>
    <definedName name="FDP_151_1_aUrv" hidden="1">#REF!</definedName>
    <definedName name="FDP_152_1_aUrv" hidden="1">#REF!</definedName>
    <definedName name="FDP_153_1_aUrv" localSheetId="1" hidden="1">#REF!</definedName>
    <definedName name="FDP_153_1_aUrv" hidden="1">#REF!</definedName>
    <definedName name="FDP_155_1_aUrv" localSheetId="1" hidden="1">#REF!</definedName>
    <definedName name="FDP_155_1_aUrv" hidden="1">#REF!</definedName>
    <definedName name="FDP_156_1_aSrv" localSheetId="1" hidden="1">#REF!</definedName>
    <definedName name="FDP_156_1_aSrv" hidden="1">#REF!</definedName>
    <definedName name="FDP_157_1_aUrv" localSheetId="1" hidden="1">#REF!</definedName>
    <definedName name="FDP_157_1_aUrv" hidden="1">#REF!</definedName>
    <definedName name="FDP_159_1_aUrv" localSheetId="1" hidden="1">#REF!</definedName>
    <definedName name="FDP_159_1_aUrv" hidden="1">#REF!</definedName>
    <definedName name="FDP_16_1_aDrv" hidden="1">#REF!</definedName>
    <definedName name="FDP_16_1_aUrv" localSheetId="1" hidden="1">#REF!</definedName>
    <definedName name="FDP_16_1_aUrv" hidden="1">#REF!</definedName>
    <definedName name="FDP_165_1_aUrv" hidden="1">[13]Indexes!$E$4</definedName>
    <definedName name="FDP_166_1_aUrv" hidden="1">[13]Indexes!$E$5</definedName>
    <definedName name="FDP_167_1_aUrv" hidden="1">[13]Indexes!$E$6</definedName>
    <definedName name="FDP_168_1_aSrv" hidden="1">[13]Indexes!$E$7</definedName>
    <definedName name="FDP_169_1_aUrv" hidden="1">[13]Indexes!$E$8</definedName>
    <definedName name="FDP_17_1_aDrv" hidden="1">#REF!</definedName>
    <definedName name="FDP_170_1_aSrv" hidden="1">[13]Indexes!$E$9</definedName>
    <definedName name="FDP_171_1_aUrv" hidden="1">[13]Indexes!$E$10</definedName>
    <definedName name="FDP_172_1_aUrv" hidden="1">[13]Indexes!$E$11</definedName>
    <definedName name="FDP_173_1_aUrv" hidden="1">[13]Indexes!$E$12</definedName>
    <definedName name="FDP_174_1_aSrv" hidden="1">[13]Indexes!$E$13</definedName>
    <definedName name="FDP_174_1_aUrv" localSheetId="1" hidden="1">#REF!</definedName>
    <definedName name="FDP_174_1_aUrv" hidden="1">#REF!</definedName>
    <definedName name="FDP_175_1_aUrv" localSheetId="1" hidden="1">#REF!</definedName>
    <definedName name="FDP_175_1_aUrv" hidden="1">#REF!</definedName>
    <definedName name="FDP_176_1_aUrv" localSheetId="1" hidden="1">#REF!</definedName>
    <definedName name="FDP_176_1_aUrv" hidden="1">#REF!</definedName>
    <definedName name="FDP_177_1_aSrv" hidden="1">[13]Indexes!$E$16</definedName>
    <definedName name="FDP_177_1_aUrv" localSheetId="1" hidden="1">#REF!</definedName>
    <definedName name="FDP_177_1_aUrv" hidden="1">#REF!</definedName>
    <definedName name="FDP_178_1_aSrv" hidden="1">[13]Indexes!$E$17</definedName>
    <definedName name="FDP_178_1_aUrv" localSheetId="1" hidden="1">#REF!</definedName>
    <definedName name="FDP_178_1_aUrv" hidden="1">#REF!</definedName>
    <definedName name="FDP_179_1_aSrv" hidden="1">[13]Indexes!$E$19</definedName>
    <definedName name="FDP_179_1_aUrv" localSheetId="1" hidden="1">#REF!</definedName>
    <definedName name="FDP_179_1_aUrv" hidden="1">#REF!</definedName>
    <definedName name="FDP_18_1_aDrv" hidden="1">#REF!</definedName>
    <definedName name="FDP_18_1_aUrv" localSheetId="1" hidden="1">#REF!</definedName>
    <definedName name="FDP_18_1_aUrv" hidden="1">#REF!</definedName>
    <definedName name="FDP_180_1_aSrv" hidden="1">[13]Indexes!$E$21</definedName>
    <definedName name="FDP_181_1_aUrv" hidden="1">[13]Indexes!$E$22</definedName>
    <definedName name="FDP_182_1_aSrv" hidden="1">[13]Indexes!$E$23</definedName>
    <definedName name="FDP_183_1_aSrv" hidden="1">[13]Indexes!$E$25</definedName>
    <definedName name="FDP_184_1_aUrv" hidden="1">[13]Indexes!$E$26</definedName>
    <definedName name="FDP_185_1_aSrv" hidden="1">[13]Indexes!$E$27</definedName>
    <definedName name="FDP_186_1_aUrv" hidden="1">[13]Indexes!$E$28</definedName>
    <definedName name="FDP_187_1_aSrv" hidden="1">[13]Indexes!$E$29</definedName>
    <definedName name="FDP_188_1_aUrv" hidden="1">[13]Indexes!$E$32</definedName>
    <definedName name="FDP_189_1_aUrv" hidden="1">[13]Indexes!$E$33</definedName>
    <definedName name="FDP_19_1_aDrv" hidden="1">#REF!</definedName>
    <definedName name="FDP_19_1_aUrv" localSheetId="1" hidden="1">#REF!</definedName>
    <definedName name="FDP_19_1_aUrv" hidden="1">#REF!</definedName>
    <definedName name="FDP_190_1_aUrv" hidden="1">[13]Indexes!$E$35</definedName>
    <definedName name="FDP_191_1_aUrv" hidden="1">[13]Indexes!$E$36</definedName>
    <definedName name="FDP_192_1_aSrv" hidden="1">[13]Indexes!$E$37</definedName>
    <definedName name="FDP_193_1_aUrv" hidden="1">[13]Indexes!$E$38</definedName>
    <definedName name="FDP_194_1_aUrv" hidden="1">[13]Indexes!$E$39</definedName>
    <definedName name="FDP_195_1_aUrv" hidden="1">[13]Indexes!$E$41</definedName>
    <definedName name="FDP_196_1_aSrv" hidden="1">[13]Indexes!$E$42</definedName>
    <definedName name="FDP_197_1_aUrv" hidden="1">[13]Indexes!$E$44</definedName>
    <definedName name="FDP_198_1_aSrv" hidden="1">[13]Indexes!$E$45</definedName>
    <definedName name="FDP_199_1_aUrv" hidden="1">[13]Indexes!$E$47</definedName>
    <definedName name="FDP_2_1_aUrv" localSheetId="1" hidden="1">#REF!</definedName>
    <definedName name="FDP_2_1_aUrv" hidden="1">#REF!</definedName>
    <definedName name="FDP_20_1_aDrv" hidden="1">#REF!</definedName>
    <definedName name="FDP_20_1_aUrv" localSheetId="1" hidden="1">#REF!</definedName>
    <definedName name="FDP_20_1_aUrv" hidden="1">#REF!</definedName>
    <definedName name="FDP_200_1_aUrv" hidden="1">[13]Indexes!$E$48</definedName>
    <definedName name="FDP_201_1_aUrv" hidden="1">[13]Indexes!$E$49</definedName>
    <definedName name="FDP_202_1_aUrv" hidden="1">[13]Indexes!$E$50</definedName>
    <definedName name="FDP_203_1_aSrv" hidden="1">[13]Indexes!$E$54</definedName>
    <definedName name="FDP_204_1_aUrv" hidden="1">[13]Indexes!$H$54</definedName>
    <definedName name="FDP_205_1_aUrv" hidden="1">[13]Indexes!$I$54</definedName>
    <definedName name="FDP_206_1_aUrv" hidden="1">[13]Indexes!$J$54</definedName>
    <definedName name="FDP_207_1_aUrv" hidden="1">[13]Indexes!$K$54</definedName>
    <definedName name="FDP_208_1_aSrv" hidden="1">[13]Indexes!$E$55</definedName>
    <definedName name="FDP_209_1_aUrv" hidden="1">[13]Indexes!$H$55</definedName>
    <definedName name="FDP_21_1_aDrv" hidden="1">#REF!</definedName>
    <definedName name="FDP_21_1_aUrv" localSheetId="1" hidden="1">#REF!</definedName>
    <definedName name="FDP_21_1_aUrv" hidden="1">#REF!</definedName>
    <definedName name="FDP_210_1_aUrv" hidden="1">[13]Indexes!$I$55</definedName>
    <definedName name="FDP_211_1_aUrv" hidden="1">[13]Indexes!$J$55</definedName>
    <definedName name="FDP_212_1_aUrv" hidden="1">[13]Indexes!$K$55</definedName>
    <definedName name="FDP_213_1_aSrv" hidden="1">[13]Indexes!$E$56</definedName>
    <definedName name="FDP_214_1_aUrv" hidden="1">[13]Indexes!$H$56</definedName>
    <definedName name="FDP_215_1_aUrv" hidden="1">[13]Indexes!$I$56</definedName>
    <definedName name="FDP_216_1_aUrv" hidden="1">[13]Indexes!$J$56</definedName>
    <definedName name="FDP_217_1_aUrv" hidden="1">[13]Indexes!$K$56</definedName>
    <definedName name="FDP_218_1_aSrv" hidden="1">[13]Indexes!$E$57</definedName>
    <definedName name="FDP_219_1_aSrv" hidden="1">[13]Indexes!$H$57</definedName>
    <definedName name="FDP_22_1_aDrv" hidden="1">#REF!</definedName>
    <definedName name="FDP_22_1_aUrv" localSheetId="1" hidden="1">#REF!</definedName>
    <definedName name="FDP_22_1_aUrv" hidden="1">#REF!</definedName>
    <definedName name="FDP_220_1_aSrv" hidden="1">[13]Indexes!$I$57</definedName>
    <definedName name="FDP_221_1_aSrv" hidden="1">[13]Indexes!$J$57</definedName>
    <definedName name="FDP_222_1_aSrv" hidden="1">[13]Indexes!$K$57</definedName>
    <definedName name="FDP_223_1_aSrv" hidden="1">[13]Indexes!$E$58</definedName>
    <definedName name="FDP_224_1_aUrv" hidden="1">[13]Indexes!$H$58</definedName>
    <definedName name="FDP_225_1_aUrv" hidden="1">[13]Indexes!$I$58</definedName>
    <definedName name="FDP_226_1_aUrv" hidden="1">[13]Indexes!$J$58</definedName>
    <definedName name="FDP_227_1_aUrv" hidden="1">[13]Indexes!$K$58</definedName>
    <definedName name="FDP_228_1_aSrv" hidden="1">[13]Indexes!$E$59</definedName>
    <definedName name="FDP_229_1_aSrv" hidden="1">[13]Indexes!$H$59</definedName>
    <definedName name="FDP_23_1_aDrv" hidden="1">#REF!</definedName>
    <definedName name="FDP_23_1_aUrv" localSheetId="1" hidden="1">#REF!</definedName>
    <definedName name="FDP_23_1_aUrv" hidden="1">#REF!</definedName>
    <definedName name="FDP_230_1_aSrv" hidden="1">[13]Indexes!$I$59</definedName>
    <definedName name="FDP_231_1_aSrv" hidden="1">[13]Indexes!$J$59</definedName>
    <definedName name="FDP_232_1_aSrv" hidden="1">[13]Indexes!$K$59</definedName>
    <definedName name="FDP_233_1_aSrv" hidden="1">[13]Indexes!$E$60</definedName>
    <definedName name="FDP_234_1_aUrv" hidden="1">[13]Indexes!$H$60</definedName>
    <definedName name="FDP_235_1_aUrv" hidden="1">[13]Indexes!$I$60</definedName>
    <definedName name="FDP_236_1_aUrv" hidden="1">[13]Indexes!$J$60</definedName>
    <definedName name="FDP_237_1_aUrv" hidden="1">[13]Indexes!$K$60</definedName>
    <definedName name="FDP_238_1_aSrv" hidden="1">[13]Indexes!$E$61</definedName>
    <definedName name="FDP_24_1_aUrv" localSheetId="1" hidden="1">#REF!</definedName>
    <definedName name="FDP_24_1_aUrv" hidden="1">#REF!</definedName>
    <definedName name="FDP_243_1_aSrv" hidden="1">[13]Indexes!$E$62</definedName>
    <definedName name="FDP_244_1_aSrv" hidden="1">[13]Indexes!$H$62</definedName>
    <definedName name="FDP_245_1_aSrv" hidden="1">[13]Indexes!$I$62</definedName>
    <definedName name="FDP_246_1_aSrv" hidden="1">[13]Indexes!$J$62</definedName>
    <definedName name="FDP_247_1_aSrv" hidden="1">[13]Indexes!$K$62</definedName>
    <definedName name="FDP_248_1_aSrv" hidden="1">[13]Indexes!$E$63</definedName>
    <definedName name="FDP_249_1_aSrv" hidden="1">[13]Indexes!$H$63</definedName>
    <definedName name="FDP_25_1_aUrv" localSheetId="1" hidden="1">#REF!</definedName>
    <definedName name="FDP_25_1_aUrv" hidden="1">#REF!</definedName>
    <definedName name="FDP_250_1_aSrv" hidden="1">[13]Indexes!$I$63</definedName>
    <definedName name="FDP_251_1_aSrv" hidden="1">[13]Indexes!$J$63</definedName>
    <definedName name="FDP_252_1_aSrv" hidden="1">[13]Indexes!$K$63</definedName>
    <definedName name="FDP_253_1_aSrv" hidden="1">[13]Indexes!$E$64</definedName>
    <definedName name="FDP_254_1_aSrv" hidden="1">[13]Indexes!$E$65</definedName>
    <definedName name="FDP_255_1_aSrv" hidden="1">[13]Indexes!$E$66</definedName>
    <definedName name="FDP_256_1_aSrv" hidden="1">[13]Indexes!$E$67</definedName>
    <definedName name="FDP_257_1_aSrv" hidden="1">[13]Indexes!$E$68</definedName>
    <definedName name="FDP_258_1_aSrv" hidden="1">[13]Indexes!$E$69</definedName>
    <definedName name="FDP_259_1_aSrv" hidden="1">[13]Indexes!$E$70</definedName>
    <definedName name="FDP_26_1_aUrv" localSheetId="1" hidden="1">#REF!</definedName>
    <definedName name="FDP_26_1_aUrv" hidden="1">#REF!</definedName>
    <definedName name="FDP_260_1_aSrv" hidden="1">[13]Indexes!$E$71</definedName>
    <definedName name="FDP_261_1_aSrv" hidden="1">[13]Indexes!$E$72</definedName>
    <definedName name="FDP_264_1_aUrv" hidden="1">[13]Indexes!$E$81</definedName>
    <definedName name="FDP_265_1_aUrv" hidden="1">[13]Indexes!$H$81</definedName>
    <definedName name="FDP_266_1_aUrv" hidden="1">[13]Indexes!$I$81</definedName>
    <definedName name="FDP_267_1_aUrv" hidden="1">[13]Indexes!$J$81</definedName>
    <definedName name="FDP_268_1_aUrv" hidden="1">[13]Indexes!$K$81</definedName>
    <definedName name="FDP_269_1_aUrv" hidden="1">[13]Indexes!$E$82</definedName>
    <definedName name="FDP_27_1_aUrv" localSheetId="1" hidden="1">#REF!</definedName>
    <definedName name="FDP_27_1_aUrv" hidden="1">#REF!</definedName>
    <definedName name="FDP_270_1_aUrv" hidden="1">[13]Indexes!$H$82</definedName>
    <definedName name="FDP_271_1_aUrv" hidden="1">[13]Indexes!$I$82</definedName>
    <definedName name="FDP_272_1_aUrv" hidden="1">[13]Indexes!$J$82</definedName>
    <definedName name="FDP_273_1_aUrv" hidden="1">[13]Indexes!$K$82</definedName>
    <definedName name="FDP_274_1_aUrv" hidden="1">[13]Indexes!$E$83</definedName>
    <definedName name="FDP_275_1_aUrv" hidden="1">[13]Indexes!$H$83</definedName>
    <definedName name="FDP_276_1_aUrv" hidden="1">[13]Indexes!$I$83</definedName>
    <definedName name="FDP_277_1_aUrv" hidden="1">[13]Indexes!$J$83</definedName>
    <definedName name="FDP_278_1_aUrv" hidden="1">[13]Indexes!$K$83</definedName>
    <definedName name="FDP_279_1_aSrv" hidden="1">[13]Indexes!$E$84</definedName>
    <definedName name="FDP_28_1_aUrv" localSheetId="1"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Urv" hidden="1">#REF!</definedName>
    <definedName name="FDP_3_1_aUrv" localSheetId="1" hidden="1">#REF!</definedName>
    <definedName name="FDP_3_1_aUrv" hidden="1">#REF!</definedName>
    <definedName name="FDP_30_1_aUrv" localSheetId="1" hidden="1">#REF!</definedName>
    <definedName name="FDP_30_1_aUrv" hidden="1">#REF!</definedName>
    <definedName name="FDP_31_1_aUrv" localSheetId="1" hidden="1">#REF!</definedName>
    <definedName name="FDP_31_1_aUrv" hidden="1">#REF!</definedName>
    <definedName name="FDP_32_1_aUrv" hidden="1">#REF!</definedName>
    <definedName name="FDP_33_1_aUrv" localSheetId="1" hidden="1">#REF!</definedName>
    <definedName name="FDP_33_1_aUrv" hidden="1">#REF!</definedName>
    <definedName name="FDP_34_1_aUrv" localSheetId="1" hidden="1">#REF!</definedName>
    <definedName name="FDP_34_1_aUrv" hidden="1">#REF!</definedName>
    <definedName name="FDP_35_1_aUrv" hidden="1">#REF!</definedName>
    <definedName name="FDP_36_1_aUrv" localSheetId="1" hidden="1">#REF!</definedName>
    <definedName name="FDP_36_1_aUrv" hidden="1">#REF!</definedName>
    <definedName name="FDP_37_1_aUrv" localSheetId="1" hidden="1">#REF!</definedName>
    <definedName name="FDP_37_1_aUrv" hidden="1">#REF!</definedName>
    <definedName name="FDP_38_1_aUrv" localSheetId="1" hidden="1">#REF!</definedName>
    <definedName name="FDP_38_1_aUrv" hidden="1">#REF!</definedName>
    <definedName name="FDP_39_1_aUrv" localSheetId="1" hidden="1">#REF!</definedName>
    <definedName name="FDP_39_1_aUrv" hidden="1">#REF!</definedName>
    <definedName name="FDP_4_1_aUrv" localSheetId="1" hidden="1">#REF!</definedName>
    <definedName name="FDP_4_1_aUrv" hidden="1">#REF!</definedName>
    <definedName name="FDP_40_1_aUrv" localSheetId="1" hidden="1">#REF!</definedName>
    <definedName name="FDP_40_1_aUrv" hidden="1">#REF!</definedName>
    <definedName name="FDP_41_1_aUrv" localSheetId="1" hidden="1">#REF!</definedName>
    <definedName name="FDP_41_1_aUrv" hidden="1">#REF!</definedName>
    <definedName name="FDP_42_1_aUrv" localSheetId="1" hidden="1">#REF!</definedName>
    <definedName name="FDP_42_1_aUrv" hidden="1">#REF!</definedName>
    <definedName name="FDP_43_1_aUrv" hidden="1">#REF!</definedName>
    <definedName name="FDP_44_1_aDdv" hidden="1">#REF!</definedName>
    <definedName name="FDP_44_1_aUrv" localSheetId="1" hidden="1">#REF!</definedName>
    <definedName name="FDP_44_1_aUrv" hidden="1">#REF!</definedName>
    <definedName name="FDP_45_1_aUrv" localSheetId="1" hidden="1">#REF!</definedName>
    <definedName name="FDP_45_1_aUrv" hidden="1">#REF!</definedName>
    <definedName name="FDP_46_1_aUrv" localSheetId="1" hidden="1">#REF!</definedName>
    <definedName name="FDP_46_1_aUrv" hidden="1">#REF!</definedName>
    <definedName name="FDP_47_1_aUrv" localSheetId="1" hidden="1">#REF!</definedName>
    <definedName name="FDP_47_1_aUrv" hidden="1">#REF!</definedName>
    <definedName name="FDP_48_1_aUrv" hidden="1">#REF!</definedName>
    <definedName name="FDP_49_1_aUrv" localSheetId="1" hidden="1">#REF!</definedName>
    <definedName name="FDP_49_1_aUrv" hidden="1">#REF!</definedName>
    <definedName name="FDP_5_1_aUrv" localSheetId="1" hidden="1">#REF!</definedName>
    <definedName name="FDP_5_1_aUrv" hidden="1">#REF!</definedName>
    <definedName name="FDP_50_1_aUrv" localSheetId="1" hidden="1">#REF!</definedName>
    <definedName name="FDP_50_1_aUrv" hidden="1">#REF!</definedName>
    <definedName name="FDP_51_1_aSrv" localSheetId="1" hidden="1">#REF!</definedName>
    <definedName name="FDP_51_1_aSrv" hidden="1">#REF!</definedName>
    <definedName name="FDP_51_1_aUrv" hidden="1">#REF!</definedName>
    <definedName name="FDP_52_1_aUrv" localSheetId="1" hidden="1">#REF!</definedName>
    <definedName name="FDP_52_1_aUrv" hidden="1">#REF!</definedName>
    <definedName name="FDP_53_1_aUrv" localSheetId="1" hidden="1">#REF!</definedName>
    <definedName name="FDP_53_1_aUrv" hidden="1">#REF!</definedName>
    <definedName name="FDP_54_1_aUrv" localSheetId="1" hidden="1">#REF!</definedName>
    <definedName name="FDP_54_1_aUrv" hidden="1">#REF!</definedName>
    <definedName name="FDP_55_1_aUrv" hidden="1">#REF!</definedName>
    <definedName name="FDP_56_1_aUrv" localSheetId="1" hidden="1">#REF!</definedName>
    <definedName name="FDP_56_1_aUrv" hidden="1">#REF!</definedName>
    <definedName name="FDP_57_1_aUrv" localSheetId="1" hidden="1">#REF!</definedName>
    <definedName name="FDP_57_1_aUrv" hidden="1">#REF!</definedName>
    <definedName name="FDP_57_1_rUrv" hidden="1">#REF!</definedName>
    <definedName name="FDP_58_1_aUrv" localSheetId="1" hidden="1">#REF!</definedName>
    <definedName name="FDP_58_1_aUrv" hidden="1">#REF!</definedName>
    <definedName name="FDP_59_1_aUrv" localSheetId="1" hidden="1">#REF!</definedName>
    <definedName name="FDP_59_1_aUrv" hidden="1">#REF!</definedName>
    <definedName name="FDP_6_1_aUrv" localSheetId="1" hidden="1">#REF!</definedName>
    <definedName name="FDP_6_1_aUrv" hidden="1">#REF!</definedName>
    <definedName name="FDP_60_1_aUrv" localSheetId="1" hidden="1">#REF!</definedName>
    <definedName name="FDP_60_1_aUrv" hidden="1">#REF!</definedName>
    <definedName name="FDP_61_1_aUrv" localSheetId="1" hidden="1">#REF!</definedName>
    <definedName name="FDP_61_1_aUrv" hidden="1">#REF!</definedName>
    <definedName name="FDP_62_1_aUrv" localSheetId="1" hidden="1">#REF!</definedName>
    <definedName name="FDP_62_1_aUrv" hidden="1">#REF!</definedName>
    <definedName name="FDP_63_1_aUrv" localSheetId="1" hidden="1">#REF!</definedName>
    <definedName name="FDP_63_1_aUrv" hidden="1">#REF!</definedName>
    <definedName name="FDP_64_1_aUrv" localSheetId="1" hidden="1">#REF!</definedName>
    <definedName name="FDP_64_1_aUrv" hidden="1">#REF!</definedName>
    <definedName name="FDP_66_1_aUrv" localSheetId="1" hidden="1">#REF!</definedName>
    <definedName name="FDP_66_1_aUrv" hidden="1">#REF!</definedName>
    <definedName name="FDP_67_1_aUrv" localSheetId="1" hidden="1">#REF!</definedName>
    <definedName name="FDP_67_1_aUrv" hidden="1">#REF!</definedName>
    <definedName name="FDP_68_1_aUrv" localSheetId="1" hidden="1">#REF!</definedName>
    <definedName name="FDP_68_1_aUrv" hidden="1">#REF!</definedName>
    <definedName name="FDP_69_1_aUrv" localSheetId="1" hidden="1">#REF!</definedName>
    <definedName name="FDP_69_1_aUrv" hidden="1">#REF!</definedName>
    <definedName name="FDP_7_1_aUrv" localSheetId="1" hidden="1">#REF!</definedName>
    <definedName name="FDP_7_1_aUrv" hidden="1">#REF!</definedName>
    <definedName name="FDP_70_1_aUrv" localSheetId="1" hidden="1">#REF!</definedName>
    <definedName name="FDP_70_1_aUrv" hidden="1">#REF!</definedName>
    <definedName name="FDP_71_1_aSrv" localSheetId="1" hidden="1">#REF!</definedName>
    <definedName name="FDP_71_1_aSrv" hidden="1">#REF!</definedName>
    <definedName name="FDP_72_1_aUrv" localSheetId="1" hidden="1">#REF!</definedName>
    <definedName name="FDP_72_1_aUrv" hidden="1">#REF!</definedName>
    <definedName name="FDP_73_1_aUrv" localSheetId="1" hidden="1">#REF!</definedName>
    <definedName name="FDP_73_1_aUrv" hidden="1">#REF!</definedName>
    <definedName name="FDP_74_1_aUrv" localSheetId="1" hidden="1">#REF!</definedName>
    <definedName name="FDP_74_1_aUrv" hidden="1">#REF!</definedName>
    <definedName name="FDP_76_1_aUrv" localSheetId="1" hidden="1">#REF!</definedName>
    <definedName name="FDP_76_1_aUrv" hidden="1">#REF!</definedName>
    <definedName name="FDP_77_1_aUrv" localSheetId="1" hidden="1">#REF!</definedName>
    <definedName name="FDP_77_1_aUrv" hidden="1">#REF!</definedName>
    <definedName name="FDP_79_1_aUrv" localSheetId="1" hidden="1">#REF!</definedName>
    <definedName name="FDP_79_1_aUrv" hidden="1">#REF!</definedName>
    <definedName name="FDP_8_1_aUrv" localSheetId="1" hidden="1">#REF!</definedName>
    <definedName name="FDP_8_1_aUrv" hidden="1">#REF!</definedName>
    <definedName name="FDP_80_1_aUrv" localSheetId="1" hidden="1">#REF!</definedName>
    <definedName name="FDP_80_1_aUrv" hidden="1">#REF!</definedName>
    <definedName name="FDP_81_1_aUrv" localSheetId="1" hidden="1">#REF!</definedName>
    <definedName name="FDP_81_1_aUrv" hidden="1">#REF!</definedName>
    <definedName name="FDP_82_1_aUrv" localSheetId="1" hidden="1">#REF!</definedName>
    <definedName name="FDP_82_1_aUrv" hidden="1">#REF!</definedName>
    <definedName name="FDP_83_1_aUrv" localSheetId="1" hidden="1">#REF!</definedName>
    <definedName name="FDP_83_1_aUrv" hidden="1">#REF!</definedName>
    <definedName name="FDP_84_1_aUrv" localSheetId="1" hidden="1">#REF!</definedName>
    <definedName name="FDP_84_1_aUrv" hidden="1">#REF!</definedName>
    <definedName name="FDP_85_1_aUrv" localSheetId="1" hidden="1">#REF!</definedName>
    <definedName name="FDP_85_1_aUrv" hidden="1">#REF!</definedName>
    <definedName name="FDP_86_1_aUrv" localSheetId="1" hidden="1">#REF!</definedName>
    <definedName name="FDP_86_1_aUrv" hidden="1">#REF!</definedName>
    <definedName name="FDP_87_1_aUrv" localSheetId="1" hidden="1">#REF!</definedName>
    <definedName name="FDP_87_1_aUrv" hidden="1">#REF!</definedName>
    <definedName name="FDP_88_1_aUrv" localSheetId="1" hidden="1">#REF!</definedName>
    <definedName name="FDP_88_1_aUrv" hidden="1">#REF!</definedName>
    <definedName name="FDP_89_1_aUrv" localSheetId="1" hidden="1">#REF!</definedName>
    <definedName name="FDP_89_1_aUrv" hidden="1">#REF!</definedName>
    <definedName name="FDP_9_1_aUrv" localSheetId="1" hidden="1">#REF!</definedName>
    <definedName name="FDP_9_1_aUrv" hidden="1">#REF!</definedName>
    <definedName name="FDP_90_1_aUrv" localSheetId="1" hidden="1">#REF!</definedName>
    <definedName name="FDP_90_1_aUrv" hidden="1">#REF!</definedName>
    <definedName name="FDP_92_1_aSrv" localSheetId="1" hidden="1">#REF!</definedName>
    <definedName name="FDP_92_1_aSrv" hidden="1">#REF!</definedName>
    <definedName name="FDP_93_1_aUrv" localSheetId="1" hidden="1">#REF!</definedName>
    <definedName name="FDP_93_1_aUrv" hidden="1">#REF!</definedName>
    <definedName name="FDP_94_1_aUrv" localSheetId="1" hidden="1">#REF!</definedName>
    <definedName name="FDP_94_1_aUrv" hidden="1">#REF!</definedName>
    <definedName name="FDP_95_1_aUrv" localSheetId="1" hidden="1">#REF!</definedName>
    <definedName name="FDP_95_1_aUrv" hidden="1">#REF!</definedName>
    <definedName name="FDP_96_1_aUrv" localSheetId="1" hidden="1">#REF!</definedName>
    <definedName name="FDP_96_1_aUrv" hidden="1">#REF!</definedName>
    <definedName name="FDP_97_1_aUrv" localSheetId="1" hidden="1">#REF!</definedName>
    <definedName name="FDP_97_1_aUrv" hidden="1">#REF!</definedName>
    <definedName name="FDP_98_1_aUrv" localSheetId="1" hidden="1">#REF!</definedName>
    <definedName name="FDP_98_1_aUrv" hidden="1">#REF!</definedName>
    <definedName name="FDP_99_1_aUrv" localSheetId="1" hidden="1">#REF!</definedName>
    <definedName name="FDP_99_1_aUrv" hidden="1">#REF!</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ill" hidden="1">#REF!</definedName>
    <definedName name="forecast" localSheetId="1"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s" hidden="1">{"Page One",#N/A,FALSE,"Model";"Page 2",#N/A,FALSE,"Model";"Page 3",#N/A,FALSE,"Model"}</definedName>
    <definedName name="gf" hidden="1">{"print annual inc. statement",#N/A,FALSE,"Summary";"print annual stats",#N/A,FALSE,"Summary";"print quarterly inc. statement",#N/A,FALSE,"Summary";"print quarterly stats",#N/A,FALSE,"Summary"}</definedName>
    <definedName name="gls_ACT_EST_ROW" hidden="1">#REF!</definedName>
    <definedName name="gls_ACT_FORM_OFFSET" hidden="1">#REF!</definedName>
    <definedName name="gls_ADMIN" hidden="1">[14]_Control!$D$30</definedName>
    <definedName name="gls_ALLOW_BOTH_PC" hidden="1">[14]_Control!$D$52</definedName>
    <definedName name="gls_ALLOW_PARENT_OR_CONSOLIDATED" hidden="1">[14]_Control!$D$41</definedName>
    <definedName name="gls_ALLOW_PUBLISH" hidden="1">[14]_Control!$D$27</definedName>
    <definedName name="gls_AnalystEmpNoHeading" hidden="1">#REF!</definedName>
    <definedName name="gls_AnalystNameHeading" hidden="1">#REF!</definedName>
    <definedName name="gls_CF_BEGINS" hidden="1">[14]_Control!$D$38</definedName>
    <definedName name="gls_CFD_CHANGEACT" hidden="1">[14]_Control!$D$45</definedName>
    <definedName name="gls_CFD_CHANGEEST" hidden="1">[14]_Control!$D$46</definedName>
    <definedName name="gls_CFD_FIRSTAVAIL" hidden="1">[14]_Control!$D$47</definedName>
    <definedName name="gls_CFD_LISTAVAIL" hidden="1">[14]_Control!$D$48</definedName>
    <definedName name="gls_CFD_SELECTED" hidden="1">[14]_Control!$D$44</definedName>
    <definedName name="gls_CHANGED_NAMES" hidden="1">[14]_Control!$D$25</definedName>
    <definedName name="gls_CHG_KEY_USER" hidden="1">[14]_Control!$D$10</definedName>
    <definedName name="gls_CHG_SEL_ONLY" hidden="1">[14]_Control!$D$9</definedName>
    <definedName name="gls_COMPANY_WORKBOOK_ID" hidden="1">[14]_Control!$D$17</definedName>
    <definedName name="gls_DELETED_PERIODS" hidden="1">[14]_Control!$J$1</definedName>
    <definedName name="gls_EST_FORM_OFFSET" hidden="1">#REF!</definedName>
    <definedName name="gls_EXC_NOT_EXT" hidden="1">[14]_Control!$D$35</definedName>
    <definedName name="gls_EXISTING_PERIODS" hidden="1">[14]_Control!$G$1</definedName>
    <definedName name="gls_EXT_BELOW_PBT" hidden="1">[14]_Control!$D$39</definedName>
    <definedName name="gls_EXT_LINK_GLOSS" hidden="1">[14]_Control!$D$50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[14]_Control!$A$1:$A$12</definedName>
    <definedName name="gls_GW_IN" hidden="1">[14]_Control!$D$36</definedName>
    <definedName name="gls_IIAA_IN" hidden="1">[14]_Control!$D$37</definedName>
    <definedName name="gls_InterimValue" hidden="1">[14]_Control!$D$22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[14]_Control!$D$23</definedName>
    <definedName name="gls_NEXT_PK" hidden="1">[14]_Control!$D$21</definedName>
    <definedName name="gls_PERIOD_CODE" hidden="1">#REF!</definedName>
    <definedName name="gls_PERIOD_INDICATOR" hidden="1">#REF!</definedName>
    <definedName name="gls_PERIOD_PARENT_OR_CONSOL" hidden="1">#REF!</definedName>
    <definedName name="gls_PERIOD_TOTAL" hidden="1">#REF!</definedName>
    <definedName name="gls_PERIOD_TYPE" hidden="1">#REF!</definedName>
    <definedName name="gls_PrincipalStockClass" hidden="1">#REF!</definedName>
    <definedName name="gls_PROFILE_NAME" hidden="1">[14]_Control!$D$19</definedName>
    <definedName name="gls_Recommendations" hidden="1">#REF!</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[14]_Control!$D$26</definedName>
    <definedName name="gls_SaveWkbForNewPeriodCodes" hidden="1">[14]_Control!$D$28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[14]_Control!$D$1</definedName>
    <definedName name="gls_SHOW_KEY_VAL_COLUMN" hidden="1">[14]_Control!$D$11</definedName>
    <definedName name="gls_SHOW_KEY_VALUES" hidden="1">[14]_Control!$D$8</definedName>
    <definedName name="gls_SHOW_LINKED_ITEMS" hidden="1">[14]_Control!$D$6</definedName>
    <definedName name="gls_SHOW_LOCAL_NAMES" hidden="1">[14]_Control!$D$2</definedName>
    <definedName name="gls_SHOW_MULTIPLIERS" hidden="1">[14]_Control!$D$7</definedName>
    <definedName name="gls_SHOW_PK_COLUMN" hidden="1">[14]_Control!$D$5</definedName>
    <definedName name="gls_SHOW_STATUS_INFORMATION" hidden="1">[14]_Control!$D$3</definedName>
    <definedName name="gls_SHOW_UNITS" hidden="1">[14]_Control!$D$4</definedName>
    <definedName name="gls_SPARE_YEARS" hidden="1">#REF!</definedName>
    <definedName name="gls_SPECIAL_DIALOG" hidden="1">[14]_Control!$D$49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REQ"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[14]_Control!$D$20</definedName>
    <definedName name="gls_TEMP_PERIOD_CODE" hidden="1">#REF!</definedName>
    <definedName name="gls_THISWORKBOOK_NAME" hidden="1">[14]_Control!$D$18</definedName>
    <definedName name="gls_UNUSUAL_POS" hidden="1">[14]_Control!$D$40</definedName>
    <definedName name="gls_USER_CELL_FORMAT" hidden="1">[14]_Control!$D$51</definedName>
    <definedName name="gls_USING_CONSOLIDATED" hidden="1">[14]_Control!$D$34</definedName>
    <definedName name="gls_YEAR_AE_CONTROL" hidden="1">#REF!</definedName>
    <definedName name="gls_YEAR_END_ROW" hidden="1">#REF!</definedName>
    <definedName name="gls_YetToRunStartupWizard" hidden="1">[14]_Control!$D$29</definedName>
    <definedName name="HAS_BEEN_UPDATED" hidden="1">#REF!</definedName>
    <definedName name="HTML_CodePage" hidden="1">1252</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1"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localSheetId="0" hidden="1">"c413"</definedName>
    <definedName name="IQ_ACCOUNT_CHANGE" hidden="1">"c1449"</definedName>
    <definedName name="IQ_ACCOUNTS_PAY" localSheetId="0" hidden="1">"c32"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localSheetId="0" hidden="1">"c8"</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localSheetId="0" hidden="1">"c7"</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localSheetId="0" hidden="1">"c39"</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localSheetId="0" hidden="1">"c16"</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0" hidden="1">"c1471"</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localSheetId="0" hidden="1">"c65"</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localSheetId="0" hidden="1">"c88"</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localSheetId="0" hidden="1">"c89"</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localSheetId="0" hidden="1">"c100"</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localSheetId="0" hidden="1">"c115"</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localSheetId="0" hidden="1">"c118"</definedName>
    <definedName name="IQ_CASH" hidden="1">"c1458"</definedName>
    <definedName name="IQ_CASH_ACQUIRE_CF" localSheetId="0" hidden="1">"c1630"</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localSheetId="0" hidden="1">"c118"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localSheetId="0" hidden="1">"c124"</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localSheetId="0"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localSheetId="0" hidden="1">"c182"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localSheetId="0"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localSheetId="0" hidden="1">"c274"</definedName>
    <definedName name="IQ_DAYS_PAY_OUTST" hidden="1">"c1362"</definedName>
    <definedName name="IQ_DAYS_PAYABLE_OUT" hidden="1">"c274"</definedName>
    <definedName name="IQ_DAYS_SALES_OUT" hidden="1">"c275"</definedName>
    <definedName name="IQ_DAYS_SALES_OUTST" localSheetId="0"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localSheetId="0" hidden="1">"c301"</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localSheetId="0" hidden="1">"c313"</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0" hidden="1">"c315"</definedName>
    <definedName name="IQ_DEFERRED_INC_TAX" hidden="1">"c1447"</definedName>
    <definedName name="IQ_DEFERRED_TAXES" localSheetId="0" hidden="1">"c147"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0" hidden="1">"c247"</definedName>
    <definedName name="IQ_DEPRE_AMORT" hidden="1">"c1360"</definedName>
    <definedName name="IQ_DEPRE_AMORT_SUPPL" hidden="1">"c1593"</definedName>
    <definedName name="IQ_DEPRE_DEPLE" localSheetId="0" hidden="1">"c261"</definedName>
    <definedName name="IQ_DEPRE_DEPLE" hidden="1">"c1361"</definedName>
    <definedName name="IQ_DEPRE_SUPP" hidden="1">"c1443"</definedName>
    <definedName name="IQ_DERIVATIVES_FDIC" hidden="1">"c6523"</definedName>
    <definedName name="IQ_DESCRIPTION_LONG" localSheetId="0" hidden="1">"c322"</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localSheetId="0" hidden="1">"c333"</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localSheetId="0" hidden="1">"c330"</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localSheetId="0" hidden="1">"c360"</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localSheetId="0"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localSheetId="0" hidden="1">"c373"</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localSheetId="0" hidden="1">"c84"</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localSheetId="0" hidden="1">"c552"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localSheetId="0" hidden="1">"c739"</definedName>
    <definedName name="IQ_EQV_OVER_LTM_PRETAX_INC" hidden="1">"c1390"</definedName>
    <definedName name="IQ_ESOP_DEBT" hidden="1">"c1597"</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localSheetId="0" hidden="1">"c1225"</definedName>
    <definedName name="IQ_EV_OVER_EMPLOYEE" hidden="1">"c1428"</definedName>
    <definedName name="IQ_EV_OVER_LTM_EBIT" localSheetId="0" hidden="1">"c1221"</definedName>
    <definedName name="IQ_EV_OVER_LTM_EBIT" hidden="1">"c1426"</definedName>
    <definedName name="IQ_EV_OVER_LTM_EBITDA" localSheetId="0" hidden="1">"c1223"</definedName>
    <definedName name="IQ_EV_OVER_LTM_EBITDA" hidden="1">"c1427"</definedName>
    <definedName name="IQ_EV_OVER_LTM_REVENUE" localSheetId="0" hidden="1">"c1227"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localSheetId="0" hidden="1">"c406"</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localSheetId="0" hidden="1">"c413"</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localSheetId="0" hidden="1">"c893"</definedName>
    <definedName name="IQ_FINANCING_CASH" hidden="1">"c1405"</definedName>
    <definedName name="IQ_FINANCING_CASH_SUPPL" localSheetId="0" hidden="1">"c899"</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0" hidden="1">"c451"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0" hidden="1">"c452"</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0" hidden="1">"c530"</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localSheetId="0" hidden="1">"c192"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localSheetId="0" hidden="1">"c511"</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localSheetId="0" hidden="1">"c789"</definedName>
    <definedName name="IQ_INC_AVAIL_EXCL" hidden="1">"c1395"</definedName>
    <definedName name="IQ_INC_AVAIL_INCL" localSheetId="0" hidden="1">"c791"</definedName>
    <definedName name="IQ_INC_AVAIL_INCL" hidden="1">"c1396"</definedName>
    <definedName name="IQ_INC_BEFORE_TAX" localSheetId="0" hidden="1">"c386"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0" hidden="1">"c907"</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localSheetId="0" hidden="1">"c618"</definedName>
    <definedName name="IQ_INTEREST_EXP_NON" hidden="1">"c1383"</definedName>
    <definedName name="IQ_INTEREST_EXP_SUPPL" hidden="1">"c1460"</definedName>
    <definedName name="IQ_INTEREST_INC" localSheetId="0" hidden="1">"c769"</definedName>
    <definedName name="IQ_INTEREST_INC" hidden="1">"c1393"</definedName>
    <definedName name="IQ_INTEREST_INC_NON" localSheetId="0" hidden="1">"c619"</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localSheetId="0" hidden="1">"c751"</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0" hidden="1">"c656"</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0" hidden="1">"c674"</definedName>
    <definedName name="IQ_LONG_TERM_DEBT" hidden="1">"c1387"</definedName>
    <definedName name="IQ_LONG_TERM_DEBT_OVER_TOTAL_CAP" localSheetId="0" hidden="1">"c677"</definedName>
    <definedName name="IQ_LONG_TERM_DEBT_OVER_TOTAL_CAP" hidden="1">"c1388"</definedName>
    <definedName name="IQ_LONG_TERM_GROWTH" hidden="1">"c671"</definedName>
    <definedName name="IQ_LONG_TERM_INV" localSheetId="0" hidden="1">"c697"</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localSheetId="0" hidden="1">"c1304"</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0" hidden="1">41087.304212963</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localSheetId="0" hidden="1">"c781"</definedName>
    <definedName name="IQ_NET_INC" hidden="1">"c1394"</definedName>
    <definedName name="IQ_NET_INC_BEFORE" localSheetId="0" hidden="1">"c344"</definedName>
    <definedName name="IQ_NET_INC_BEFORE" hidden="1">"c1368"</definedName>
    <definedName name="IQ_NET_INC_CF" localSheetId="0" hidden="1">"c793"</definedName>
    <definedName name="IQ_NET_INC_CF" hidden="1">"c1397"</definedName>
    <definedName name="IQ_NET_INC_MARGIN" localSheetId="0" hidden="1">"c794"</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localSheetId="0" hidden="1">"c764"</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localSheetId="0" hidden="1">"c797"</definedName>
    <definedName name="IQ_NON_CASH" hidden="1">"c1399"</definedName>
    <definedName name="IQ_NON_CASH_ITEMS" hidden="1">"c797"</definedName>
    <definedName name="IQ_NON_INS_EXP" hidden="1">"c798"</definedName>
    <definedName name="IQ_NON_INS_REV" hidden="1">"c799"</definedName>
    <definedName name="IQ_NON_INT_BEAR_CD" localSheetId="0" hidden="1">"c800"</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localSheetId="0" hidden="1">"c801"</definedName>
    <definedName name="IQ_NON_INTEREST_EXP" hidden="1">"c1400"</definedName>
    <definedName name="IQ_NON_INTEREST_INC" localSheetId="0" hidden="1">"c802"</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localSheetId="0" hidden="1">"c1176"</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localSheetId="0" hidden="1">"c362"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0" hidden="1">"c868"</definedName>
    <definedName name="IQ_OTHER_CURRENT_ASSETS" hidden="1">"c1403"</definedName>
    <definedName name="IQ_OTHER_CURRENT_LIAB" localSheetId="0" hidden="1">"c877"</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localSheetId="0" hidden="1">"c916"</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0" hidden="1">"c946"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localSheetId="0" hidden="1">"c959"</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localSheetId="0" hidden="1">"c1010"</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localSheetId="0" hidden="1">"c1022"</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0" hidden="1">"c8"</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localSheetId="0" hidden="1">"c1034"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localSheetId="0" hidden="1">"c1052"</definedName>
    <definedName name="IQ_PREF_STOCK" hidden="1">"c1416"</definedName>
    <definedName name="IQ_PREF_TOT" localSheetId="0" hidden="1">"c1044"</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0"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localSheetId="0" hidden="1">"c1026"</definedName>
    <definedName name="IQ_PRICE_OVER_BVPS" hidden="1">"c1412"</definedName>
    <definedName name="IQ_PRICE_OVER_LTM_EPS" localSheetId="0" hidden="1">"c1029"</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localSheetId="0" hidden="1">"c795"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localSheetId="0" hidden="1">"c518"</definedName>
    <definedName name="IQ_PROPERTY_GROSS" hidden="1">"c1379"</definedName>
    <definedName name="IQ_PROPERTY_MGMT_FEE" hidden="1">"c1074"</definedName>
    <definedName name="IQ_PROPERTY_NET" localSheetId="0" hidden="1">"c829"</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localSheetId="0" hidden="1">"c1059"</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localSheetId="0" hidden="1">"c1090"</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localSheetId="0" hidden="1">"c1092"</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localSheetId="0" hidden="1">"c1117"</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0" hidden="1">"c1122"</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localSheetId="0" hidden="1">"c1197"</definedName>
    <definedName name="IQ_SHORT_TERM_INVEST" hidden="1">"c1425"</definedName>
    <definedName name="IQ_SMALL_INT_BEAR_CD" localSheetId="0" hidden="1">"c1166"</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localSheetId="0" hidden="1">"c1266"</definedName>
    <definedName name="IQ_TOTAL_CASH_DIVID" hidden="1">"c1455"</definedName>
    <definedName name="IQ_TOTAL_CASH_FINAN" localSheetId="0" hidden="1">"c119"</definedName>
    <definedName name="IQ_TOTAL_CASH_FINAN" hidden="1">"c1352"</definedName>
    <definedName name="IQ_TOTAL_CASH_INVEST" localSheetId="0" hidden="1">"c121"</definedName>
    <definedName name="IQ_TOTAL_CASH_INVEST" hidden="1">"c1353"</definedName>
    <definedName name="IQ_TOTAL_CASH_OPER" localSheetId="0" hidden="1">"c122"</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localSheetId="0" hidden="1">"c1022"</definedName>
    <definedName name="IQ_TOTAL_COMMON" hidden="1">"c1411"</definedName>
    <definedName name="IQ_TOTAL_COMMON_EQUITY" hidden="1">"c1246"</definedName>
    <definedName name="IQ_TOTAL_CURRENT_ASSETS" localSheetId="0" hidden="1">"c1243"</definedName>
    <definedName name="IQ_TOTAL_CURRENT_ASSETS" hidden="1">"c1430"</definedName>
    <definedName name="IQ_TOTAL_CURRENT_LIAB" localSheetId="0" hidden="1">"c1245"</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localSheetId="0" hidden="1">"c1249"</definedName>
    <definedName name="IQ_TOTAL_DEBT_OVER_EBITDA" hidden="1">"c1433"</definedName>
    <definedName name="IQ_TOTAL_DEBT_OVER_TOTAL_BV" localSheetId="0" hidden="1">"c1250"</definedName>
    <definedName name="IQ_TOTAL_DEBT_OVER_TOTAL_BV" hidden="1">"c1434"</definedName>
    <definedName name="IQ_TOTAL_DEBT_OVER_TOTAL_CAP" localSheetId="0" hidden="1">"c1248"</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localSheetId="0" hidden="1">"c1522"</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localSheetId="0" hidden="1">"c591"</definedName>
    <definedName name="IQ_TOTAL_INTEREST_EXP" hidden="1">"c1382"</definedName>
    <definedName name="IQ_TOTAL_INVENTORY" localSheetId="0" hidden="1">"c622"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localSheetId="0" hidden="1">"c1279"</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localSheetId="0" hidden="1">"c1294"</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localSheetId="0" hidden="1">"c1177"</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localSheetId="0" hidden="1">"c40"</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localSheetId="0" hidden="1">"c1311"</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F17" hidden="1">"$AF$18:$AF$270"</definedName>
    <definedName name="iQShowHideColumns" hidden="1">"iQShowAnnual"</definedName>
    <definedName name="limcount" hidden="1">1</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M_PlaceofPath" hidden="1">"H:\excel\AIG\aig_vdf.xls"</definedName>
    <definedName name="MnPrices" localSheetId="1" hidden="1">#REF!</definedName>
    <definedName name="MnPrices" hidden="1">#REF!</definedName>
    <definedName name="MODEL_db_ORIGINATOR" hidden="1">"1"</definedName>
    <definedName name="MODEL_db_TICKER" hidden="1">"ABC"</definedName>
    <definedName name="print" hidden="1">{"Page One",#N/A,FALSE,"Summary";"Page Two",#N/A,FALSE,"Summary"}</definedName>
    <definedName name="print.new" hidden="1">{"Print CRXLAND Assumptions",#N/A,FALSE,"CRXLAND Openings";"Print CRXLAND Openings",#N/A,FALSE,"CRXLAND Openings"}</definedName>
    <definedName name="q" localSheetId="1" hidden="1">{"Qtr Op Mgd Q2",#N/A,FALSE,"Qtr-Op (Mng)";"Qtr Op Rpt Q2",#N/A,FALSE,"Qtr-Op (Rpt)";"Operating Vs Reported",#N/A,FALSE,"Rpt-Op Inc"}</definedName>
    <definedName name="q" hidden="1">{"Qtr Op Mgd Q2",#N/A,FALSE,"Qtr-Op (Mng)";"Qtr Op Rpt Q2",#N/A,FALSE,"Qtr-Op (Rpt)";"Operating Vs Reported",#N/A,FALSE,"Rpt-Op Inc"}</definedName>
    <definedName name="qwer" hidden="1">{"'Outline (2)'!$A$1:$Q$7"}</definedName>
    <definedName name="rep" localSheetId="1" hidden="1">{#N/A,#N/A,FALSE,"COVER";#N/A,#N/A,FALSE,"VALUATION";#N/A,#N/A,FALSE,"FORECAST";#N/A,#N/A,FALSE,"FY ANALYSIS ";#N/A,#N/A,FALSE," HY ANALYSIS"}</definedName>
    <definedName name="rep" hidden="1">{#N/A,#N/A,FALSE,"COVER";#N/A,#N/A,FALSE,"VALUATION";#N/A,#N/A,FALSE,"FORECAST";#N/A,#N/A,FALSE,"FY ANALYSIS ";#N/A,#N/A,FALSE," HY ANALYSIS"}</definedName>
    <definedName name="RiM_A.ValMethod" hidden="1">[15]Database!$C$12</definedName>
    <definedName name="RiM_SHAREUNITS" hidden="1">"U.WN.MIL"</definedName>
    <definedName name="RiM_UNITS" hidden="1">"U.CUR.MIL"</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hidden="1">[7]BALSHT_S!$C$1:$H$65536</definedName>
    <definedName name="Rwvu.Full_Year." hidden="1">[7]PE1_S!$D$1:$H$65536,[7]PE1_S!$L$1:$M$65536,[7]PE1_S!$O$1:$P$65536,[7]PE1_S!$R$1:$S$65536</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hidden="1">2</definedName>
    <definedName name="solver_lin_1" hidden="1">0</definedName>
    <definedName name="solver_neg" hidden="1">2</definedName>
    <definedName name="solver_num" hidden="1">0</definedName>
    <definedName name="solver_nwt" hidden="1">1</definedName>
    <definedName name="solver_opt" hidden="1">[16]old!#REF!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hidden="1">0</definedName>
    <definedName name="srthhdg" localSheetId="1"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hidden="1">[7]BALSHT_S!$A$1:$M$65536</definedName>
    <definedName name="Swvu.Detail." hidden="1">'[8]Fert. &amp; Chem.'!$J$8</definedName>
    <definedName name="Swvu.Forestry." hidden="1">[8]Bunnings!$D$384</definedName>
    <definedName name="Swvu.Full_Year." hidden="1">[7]PE1_S!$A$1:$Z$65536</definedName>
    <definedName name="Swvu.Merch_Summary." hidden="1">[8]Bunnings!$F$106</definedName>
    <definedName name="Swvu.Summary." hidden="1">'[8]Fert. &amp; Chem.'!$A$35:$IV$35</definedName>
    <definedName name="Swvu.Warehouse." hidden="1">[8]Bunnings!$G$102</definedName>
    <definedName name="Tigr_Exhibit2cf0c7a4_8079_452d_90b1_946b4ca5791e" hidden="1">[17]GS!#REF!</definedName>
    <definedName name="Tigr_Exhibit3edd6723_b4b8_4c96_a3d2_86d3ddbd543d" hidden="1">[17]GS!#REF!</definedName>
    <definedName name="Tigr_Exhibitf2941059_9aad_40de_bd7f_fb976c9da072" hidden="1">[17]GS!#REF!</definedName>
    <definedName name="tmp_1553" hidden="1">#REF!</definedName>
    <definedName name="tmp_1555" hidden="1">#REF!</definedName>
    <definedName name="tmp_194" hidden="1">#REF!</definedName>
    <definedName name="tmp_92" hidden="1">#REF!</definedName>
    <definedName name="tmpLoadSedol" hidden="1">#REF!</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ver1.0" hidden="1">#REF!</definedName>
    <definedName name="ver1.01" hidden="1">#REF!</definedName>
    <definedName name="ver1.1" hidden="1">#REF!</definedName>
    <definedName name="war.client_detailed_skc" hidden="1">{"Full_Year",#N/A,FALSE,"PE1_S";"Full_Year",#N/A,FALSE,"Cashflow_EPS";"Full_Year",#N/A,FALSE,"EBIT_DIV"}</definedName>
    <definedName name="warn.full_client_skc" hidden="1">{"Full_Year",#N/A,FALSE,"PE1_S";"Automotive",#N/A,FALSE,"Auto_EBIT";#N/A,#N/A,FALSE,"Industrial_EBIT";#N/A,#N/A,FALSE,"Webforge_EBIT"}</definedName>
    <definedName name="wrn.1q97." localSheetId="1"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1"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1"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1"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hidden="1">{"Summary",#N/A,FALSE,"Bunnings";"Merch_Summary",#N/A,FALSE,"Bunnings";"Forestry",#N/A,FALSE,"Bunnings"}</definedName>
    <definedName name="wrn.Cable." hidden="1">{"Cable_front",#N/A,TRUE,"Cable";"Cable_back",#N/A,TRUE,"Cable"}</definedName>
    <definedName name="wrn.Client." hidden="1">{"Full_Year",#N/A,FALSE,"PE1_S";#N/A,#N/A,FALSE,"DIVIS_S"}</definedName>
    <definedName name="wrn.Client._1" hidden="1">{"Full_Year",#N/A,FALSE,"PE1_S";#N/A,#N/A,FALSE,"DIVIS_S"}</definedName>
    <definedName name="wrn.Client._2" hidden="1">{"Full_Year",#N/A,FALSE,"PE1_S";#N/A,#N/A,FALSE,"DIVIS_S"}</definedName>
    <definedName name="wrn.Client_CWN" hidden="1">{"Full_Year",#N/A,FALSE,"PE1_S";#N/A,#N/A,FALSE,"DIVIS_S"}</definedName>
    <definedName name="wrn.Client_Detailed." hidden="1">{"Full_Year",#N/A,FALSE,"PE1_S";"Full_Year",#N/A,FALSE,"Cashflow_EPS";"Full_Year",#N/A,FALSE,"EBIT_DIV"}</definedName>
    <definedName name="wrn.Client_Detailed._1" hidden="1">{"Full_Year",#N/A,FALSE,"PE1_S";"Full_Year",#N/A,FALSE,"Cashflow_EPS";"Full_Year",#N/A,FALSE,"EBIT_DIV"}</definedName>
    <definedName name="wrn.Client_Detailed._2" hidden="1">{"Full_Year",#N/A,FALSE,"PE1_S";"Full_Year",#N/A,FALSE,"Cashflow_EPS";"Full_Year",#N/A,FALSE,"EBIT_DIV"}</definedName>
    <definedName name="wrn.client_detailed_CWN" hidden="1">{"Full_Year",#N/A,FALSE,"PE1_S";"Full_Year",#N/A,FALSE,"Cashflow_EPS";"Full_Year",#N/A,FALSE,"EBIT_DIV"}</definedName>
    <definedName name="wrn.client_SKC" hidden="1">{"Full_Year",#N/A,FALSE,"PE1_S";#N/A,#N/A,FALSE,"DIVIS_S"}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hidden="1">{#N/A,#N/A,FALSE,"Major v. River";#N/A,#N/A,FALSE,"Large Operators";#N/A,#N/A,FALSE,"Smaller Operators";#N/A,#N/A,FALSE,"Equip. Supply";#N/A,#N/A,FALSE,"EBITDA"}</definedName>
    <definedName name="wrn.dcf." hidden="1">{"mgmt forecast",#N/A,FALSE,"Mgmt Forecast";"dcf table",#N/A,FALSE,"Mgmt Forecast";"sensitivity",#N/A,FALSE,"Mgmt Forecast";"table inputs",#N/A,FALSE,"Mgmt Forecast";"calculations",#N/A,FALSE,"Mgmt Forecast"}</definedName>
    <definedName name="wrn.Divisional._.Summaries." hidden="1">{"Divisional summaries",#N/A,TRUE,"Model"}</definedName>
    <definedName name="wrn.Forecast._.Q4a" localSheetId="1"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hidden="1">{#N/A,"Likely capex",TRUE,"Model";#N/A,"Optimal ROAs",TRUE,"Model";"Full Divisional Analysis","Aggressive asset sales",TRUE,"Model"}</definedName>
    <definedName name="wrn.Full._.EBITDA._.Valuation." hidden="1">{"Full EBITDA valuation",#N/A,FALSE,"Value"}</definedName>
    <definedName name="wrn.Full._.Report."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hidden="1">{#N/A,#N/A,TRUE,"IGT";#N/A,#N/A,TRUE,"IGTSLOT"}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hidden="1">{#N/A,#N/A,FALSE,"MIR";#N/A,#N/A,FALSE,"NYNY"}</definedName>
    <definedName name="wrn.Model." hidden="1">{#N/A,#N/A,FALSE,"PRH";#N/A,#N/A,FALSE,"Units"}</definedName>
    <definedName name="wrn.Model._.Level._.3."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hidden="1">{#N/A,#N/A,FALSE,"Running Total";#N/A,#N/A,FALSE,"Oct 96";#N/A,#N/A,FALSE,"Nov 96";#N/A,#N/A,FALSE,"Dec 96";#N/A,#N/A,FALSE,"Jan 97";#N/A,#N/A,FALSE,"Feb 97";#N/A,#N/A,FALSE,"Mar 97";#N/A,#N/A,FALSE,"Apr 97";#N/A,#N/A,FALSE,"May 97";#N/A,#N/A,FALSE,"June 97";#N/A,#N/A,FALSE,"July 97"}</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1" hidden="1">{"Cashflow",#N/A,FALSE,"CASHFLOW";"DCF",#N/A,FALSE,"CASHFLOW"}</definedName>
    <definedName name="wrn.Print." hidden="1">{"Cashflow",#N/A,FALSE,"CASHFLOW";"DCF",#N/A,FALSE,"CASHFLOW"}</definedName>
    <definedName name="wrn.Print._.CRXLAND._.Openings." hidden="1">{"Print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hidden="1">{"Gaming Prices",#N/A,FALSE,"Tab 1-Price Performance";"Gaming Summary",#N/A,FALSE,"Tab 2-Valuation Summary";"Gaming FCF",#N/A,FALSE,"Tab 3-FCF";"Gaming Sensitivity",#N/A,FALSE,"Tab 4-Earnings Sensitivity";"Gaming Credit",#N/A,FALSE,"Tab 5-Credit"}</definedName>
    <definedName name="wrn.Print._.Inc.._.Statement._.and._.Stats.." hidden="1">{"print annual inc. statement",#N/A,FALSE,"Summary";"print annual stats",#N/A,FALSE,"Summary";"print quarterly inc. statement",#N/A,FALSE,"Summary";"print quarterly stats",#N/A,FALSE,"Summary"}</definedName>
    <definedName name="wrn.Print._.Lodging._.Only."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Model." hidden="1">{"income statement",#N/A,FALSE,"Model RAL";"balance sheet",#N/A,FALSE,"Model RAL";"cash flows",#N/A,FALSE,"Model RAL";"op drivers",#N/A,FALSE,"Model RAL";"hotel stats",#N/A,FALSE,"Model RAL";"owned drivers",#N/A,FALSE,"Model RAL";"managed drivers",#N/A,FALSE,"Model RAL"}</definedName>
    <definedName name="wrn.Print._.Report." hidden="1">{"annual",#N/A,FALSE,"Sheet2";"quarters",#N/A,FALSE,"Sheet2"}</definedName>
    <definedName name="wrn.Print._.SPHI._.Openings." hidden="1">{"Print SPHI Assumptions",#N/A,FALSE,"SPHI Openings";"Print SPHI Openings",#N/A,FALSE,"SPHI Openings"}</definedName>
    <definedName name="wrn.Print._.STAY._.Openings." hidden="1">{"print STAY opening assumptions",#N/A,FALSE,"STAY Openings";"print STAY openings",#N/A,FALSE,"STAY Openings"}</definedName>
    <definedName name="wrn.Print._.Three._.Page._.Model." hidden="1">{"Page One",#N/A,FALSE,"Model";"Page 2",#N/A,FALSE,"Model";"Page 3",#N/A,FALSE,"Model"}</definedName>
    <definedName name="wrn.Printout." hidden="1">{"page1",#N/A,FALSE,"Casual RLE";"page2",#N/A,FALSE,"Casual RLE"}</definedName>
    <definedName name="wrn.Q2._.Press._.Release." localSheetId="1" hidden="1">{"Q2_STMT_INC_PR",#N/A,FALSE,"STMT OF INC";"Q2 SUPPL INFO PR",#N/A,FALSE,"SUPPL INFO"}</definedName>
    <definedName name="wrn.Q2._.Press._.Release." hidden="1">{"Q2_STMT_INC_PR",#N/A,FALSE,"STMT OF INC";"Q2 SUPPL INFO PR",#N/A,FALSE,"SUPPL INFO"}</definedName>
    <definedName name="wrn.Report." localSheetId="1" hidden="1">{"Cashflow",#N/A,FALSE,"CASHFLOW";"DCF",#N/A,FALSE,"CASHFLOW"}</definedName>
    <definedName name="wrn.Report." hidden="1">{"Cashflow",#N/A,FALSE,"CASHFLOW";"DCF",#N/A,FALSE,"CASHFLOW"}</definedName>
    <definedName name="wrn.Revenue._.Details." localSheetId="1"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hidden="1">{#N/A,#N/A,FALSE,"summary";#N/A,#N/A,FALSE,"SIH";#N/A,#N/A,FALSE,"SIH Value";#N/A,#N/A,FALSE,"tax est.";#N/A,#N/A,FALSE,"Mohegan";#N/A,#N/A,FALSE,"Resorts";#N/A,#N/A,FALSE,"Win Per Day";#N/A,#N/A,FALSE,"CapStr"}</definedName>
    <definedName name="wrn.Test." localSheetId="1" hidden="1">{"Detail",#N/A,FALSE,"FULLESTI";#N/A,#N/A,FALSE,"USMEDCOY"}</definedName>
    <definedName name="wrn.Test." hidden="1">{"Detail",#N/A,FALSE,"FULLESTI";#N/A,#N/A,FALSE,"USMEDCOY"}</definedName>
    <definedName name="wrn.Variance._.Q4" localSheetId="1" hidden="1">{"Variance Q4",#N/A,FALSE,"Var"}</definedName>
    <definedName name="wrn.Variance._.Q4" hidden="1">{"Variance Q4",#N/A,FALSE,"Var"}</definedName>
    <definedName name="wrn.weekly." hidden="1">{#N/A,#N/A,FALSE,"Large Operators";#N/A,#N/A,FALSE,"Smaller Operators";#N/A,#N/A,FALSE,"Equip. Supply";#N/A,#N/A,FALSE,"EBITDA";#N/A,#N/A,FALSE,"perform"}</definedName>
    <definedName name="wrn.year._.end." localSheetId="1"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1" hidden="1">{"Revenue by Industry Chart",#N/A,FALSE,"Mix";"Annual Revenue Detail",#N/A,FALSE,"Mix";"Quarterly Revenue Detail",#N/A,FALSE,"Mix"}</definedName>
    <definedName name="x" hidden="1">{"Revenue by Industry Chart",#N/A,FALSE,"Mix";"Annual Revenue Detail",#N/A,FALSE,"Mix";"Quarterly Revenue Detail",#N/A,FALSE,"Mix"}</definedName>
    <definedName name="xxx" hidden="1">{"'Outline (2)'!$A$1:$Q$7"}</definedName>
    <definedName name="Z_03DAD996_7A4F_11D1_AB8C_00805F1D08F8_.wvu.Cols" hidden="1">[7]BALSHT_S!$C$1:$H$65536</definedName>
    <definedName name="Z_03DAD997_7A4F_11D1_AB8C_00805F1D08F8_.wvu.Cols" hidden="1">[7]PE1_S!$D$1:$H$65536,[7]PE1_S!$L$1:$M$65536,[7]PE1_S!$O$1:$P$65536,[7]PE1_S!$R$1:$S$65536</definedName>
    <definedName name="Z_03DAD997_7A4F_11D1_AB8C_00805F1D08F8_.wvu.Rows" hidden="1">[7]PE1_S!$A$22:$IV$23</definedName>
    <definedName name="Z_0C942D73_7104_11D1_AB6C_00805F1D2048_.wvu.Cols" hidden="1">[7]BALSHT_S!$C$1:$H$65536</definedName>
    <definedName name="Z_0C942D74_7104_11D1_AB6C_00805F1D2048_.wvu.Cols" hidden="1">[7]PE1_S!$D$1:$H$65536,[7]PE1_S!$L$1:$M$65536,[7]PE1_S!$O$1:$P$65536,[7]PE1_S!$R$1:$S$65536</definedName>
    <definedName name="Z_0C942D74_7104_11D1_AB6C_00805F1D2048_.wvu.Rows" hidden="1">[7]PE1_S!$A$22:$IV$23</definedName>
    <definedName name="Z_115772F5_74E0_11D1_AB6E_00805F1D2048_.wvu.Cols" hidden="1">[7]BALSHT_S!$C$1:$H$65536</definedName>
    <definedName name="Z_115772F6_74E0_11D1_AB6E_00805F1D2048_.wvu.Cols" hidden="1">[7]PE1_S!$D$1:$H$65536,[7]PE1_S!$L$1:$M$65536,[7]PE1_S!$O$1:$P$65536,[7]PE1_S!$R$1:$S$65536</definedName>
    <definedName name="Z_115772F6_74E0_11D1_AB6E_00805F1D2048_.wvu.Rows" hidden="1">[7]PE1_S!$A$22:$IV$23</definedName>
    <definedName name="Z_2087720D_7599_11D1_AB6F_00805F1D2048_.wvu.Cols" hidden="1">[7]BALSHT_S!$C$1:$H$65536</definedName>
    <definedName name="Z_2087720E_7599_11D1_AB6F_00805F1D2048_.wvu.Cols" hidden="1">[7]PE1_S!$D$1:$H$65536,[7]PE1_S!$L$1:$M$65536,[7]PE1_S!$O$1:$P$65536,[7]PE1_S!$R$1:$S$65536</definedName>
    <definedName name="Z_2087720E_7599_11D1_AB6F_00805F1D2048_.wvu.Rows" hidden="1">[7]PE1_S!$A$22:$IV$23</definedName>
    <definedName name="Z_2087722D_7599_11D1_AB6F_00805F1D2048_.wvu.Cols" hidden="1">[7]BALSHT_S!$C$1:$H$65536</definedName>
    <definedName name="Z_2087722E_7599_11D1_AB6F_00805F1D2048_.wvu.Cols" hidden="1">[7]PE1_S!$D$1:$H$65536,[7]PE1_S!$L$1:$M$65536,[7]PE1_S!$O$1:$P$65536,[7]PE1_S!$R$1:$S$65536</definedName>
    <definedName name="Z_2087722E_7599_11D1_AB6F_00805F1D2048_.wvu.Rows" hidden="1">[7]PE1_S!$A$22:$IV$23</definedName>
    <definedName name="Z_2087724D_7599_11D1_AB6F_00805F1D2048_.wvu.Cols" hidden="1">[7]BALSHT_S!$C$1:$H$65536</definedName>
    <definedName name="Z_2087724E_7599_11D1_AB6F_00805F1D2048_.wvu.Cols" hidden="1">[7]PE1_S!$D$1:$H$65536,[7]PE1_S!$L$1:$M$65536,[7]PE1_S!$O$1:$P$65536,[7]PE1_S!$R$1:$S$65536</definedName>
    <definedName name="Z_2087724E_7599_11D1_AB6F_00805F1D2048_.wvu.Rows" hidden="1">[7]PE1_S!$A$22:$IV$23</definedName>
    <definedName name="Z_390AA9A0_4F12_11D1_AB62_00805F1D08F8_.wvu.Cols" hidden="1">[7]BALSHT_S!$C$1:$H$65536</definedName>
    <definedName name="Z_390AA9A1_4F12_11D1_AB62_00805F1D08F8_.wvu.Cols" hidden="1">[7]PE1_S!$D$1:$H$65536,[7]PE1_S!$L$1:$M$65536,[7]PE1_S!$O$1:$P$65536,[7]PE1_S!$R$1:$S$65536</definedName>
    <definedName name="Z_390AA9A1_4F12_11D1_AB62_00805F1D08F8_.wvu.Rows" hidden="1">[7]PE1_S!$A$22:$IV$23</definedName>
    <definedName name="Z_3A0CF412_61F2_11D1_AB75_00805F1D08F8_.wvu.Cols" hidden="1">[7]BALSHT_S!$C$1:$H$65536</definedName>
    <definedName name="Z_3A0CF413_61F2_11D1_AB75_00805F1D08F8_.wvu.Cols" hidden="1">[7]PE1_S!$D$1:$H$65536,[7]PE1_S!$L$1:$M$65536,[7]PE1_S!$O$1:$P$65536,[7]PE1_S!$R$1:$S$65536</definedName>
    <definedName name="Z_3A0CF413_61F2_11D1_AB75_00805F1D08F8_.wvu.Rows" hidden="1">[7]PE1_S!$A$22:$IV$23</definedName>
    <definedName name="Z_40C39523_4116_11D1_AB55_00805F1D08F8_.wvu.Cols" hidden="1">[7]BALSHT_S!$C$1:$H$65536</definedName>
    <definedName name="Z_40C39524_4116_11D1_AB55_00805F1D08F8_.wvu.Cols" hidden="1">[7]PE1_S!$D$1:$H$65536,[7]PE1_S!$L$1:$M$65536,[7]PE1_S!$O$1:$P$65536,[7]PE1_S!$R$1:$S$65536</definedName>
    <definedName name="Z_40C39524_4116_11D1_AB55_00805F1D08F8_.wvu.Rows" hidden="1">[7]PE1_S!$A$22:$IV$23</definedName>
    <definedName name="Z_40C39573_4116_11D1_AB55_00805F1D08F8_.wvu.Cols" hidden="1">[7]BALSHT_S!$C$1:$H$65536</definedName>
    <definedName name="Z_40C39574_4116_11D1_AB55_00805F1D08F8_.wvu.Cols" hidden="1">[7]PE1_S!$D$1:$H$65536,[7]PE1_S!$L$1:$M$65536,[7]PE1_S!$O$1:$P$65536,[7]PE1_S!$R$1:$S$65536</definedName>
    <definedName name="Z_40C39574_4116_11D1_AB55_00805F1D08F8_.wvu.Rows" hidden="1">[7]PE1_S!$A$22:$IV$23</definedName>
    <definedName name="Z_4B689A83_6515_11D1_AB79_00805F1D08F8_.wvu.Cols" hidden="1">[7]BALSHT_S!$C$1:$H$65536</definedName>
    <definedName name="Z_4B689A84_6515_11D1_AB79_00805F1D08F8_.wvu.Cols" hidden="1">[7]PE1_S!$D$1:$H$65536,[7]PE1_S!$L$1:$M$65536,[7]PE1_S!$O$1:$P$65536,[7]PE1_S!$R$1:$S$65536</definedName>
    <definedName name="Z_4B689A84_6515_11D1_AB79_00805F1D08F8_.wvu.Rows" hidden="1">[7]PE1_S!$A$22:$IV$23</definedName>
    <definedName name="Z_4D4EF4DC_6A0A_11D1_AB7D_00805F1D08F8_.wvu.Cols" hidden="1">[7]BALSHT_S!$C$1:$H$65536</definedName>
    <definedName name="Z_4D4EF4DD_6A0A_11D1_AB7D_00805F1D08F8_.wvu.Cols" hidden="1">[7]PE1_S!$D$1:$H$65536,[7]PE1_S!$L$1:$M$65536,[7]PE1_S!$O$1:$P$65536,[7]PE1_S!$R$1:$S$65536</definedName>
    <definedName name="Z_4D4EF4DD_6A0A_11D1_AB7D_00805F1D08F8_.wvu.Rows" hidden="1">[7]PE1_S!$A$22:$IV$23</definedName>
    <definedName name="Z_5BD438D4_7596_11D1_AB88_00805F1D08F8_.wvu.Cols" hidden="1">[7]BALSHT_S!$C$1:$H$65536</definedName>
    <definedName name="Z_5BD438D5_7596_11D1_AB88_00805F1D08F8_.wvu.Cols" hidden="1">[7]PE1_S!$D$1:$H$65536,[7]PE1_S!$L$1:$M$65536,[7]PE1_S!$O$1:$P$65536,[7]PE1_S!$R$1:$S$65536</definedName>
    <definedName name="Z_5BD438D5_7596_11D1_AB88_00805F1D08F8_.wvu.Rows" hidden="1">[7]PE1_S!$A$22:$IV$23</definedName>
    <definedName name="Z_5BD43914_7596_11D1_AB88_00805F1D08F8_.wvu.Cols" hidden="1">[7]BALSHT_S!$C$1:$H$65536</definedName>
    <definedName name="Z_5BD43915_7596_11D1_AB88_00805F1D08F8_.wvu.Cols" hidden="1">[7]PE1_S!$D$1:$H$65536,[7]PE1_S!$L$1:$M$65536,[7]PE1_S!$O$1:$P$65536,[7]PE1_S!$R$1:$S$65536</definedName>
    <definedName name="Z_5BD43915_7596_11D1_AB88_00805F1D08F8_.wvu.Rows" hidden="1">[7]PE1_S!$A$22:$IV$23</definedName>
    <definedName name="Z_5D8928C3_27D9_11D1_AB33_00805F1D2048_.wvu.Cols" hidden="1">[7]BALSHT_S!$C$1:$H$65536</definedName>
    <definedName name="Z_5D8928C4_27D9_11D1_AB33_00805F1D2048_.wvu.Cols" hidden="1">[7]PE1_S!$D$1:$H$65536,[7]PE1_S!$L$1:$M$65536,[7]PE1_S!$O$1:$P$65536,[7]PE1_S!$R$1:$S$65536</definedName>
    <definedName name="Z_5D8928C4_27D9_11D1_AB33_00805F1D2048_.wvu.Rows" hidden="1">[7]PE1_S!$A$22:$IV$23</definedName>
    <definedName name="Z_63193F35_1A71_11D1_AB28_00805F1D2048_.wvu.Cols" hidden="1">[7]BALSHT_S!$C$1:$H$65536</definedName>
    <definedName name="Z_63193F36_1A71_11D1_AB28_00805F1D2048_.wvu.Cols" hidden="1">[7]PE1_S!$D$1:$H$65536,[7]PE1_S!$L$1:$M$65536,[7]PE1_S!$O$1:$P$65536,[7]PE1_S!$R$1:$S$65536</definedName>
    <definedName name="Z_63193F36_1A71_11D1_AB28_00805F1D2048_.wvu.Rows" hidden="1">[7]PE1_S!$A$22:$IV$23</definedName>
    <definedName name="Z_67539AE7_7018_11D1_AB83_00805F1D08F8_.wvu.Cols" hidden="1">[7]BALSHT_S!$C$1:$H$65536</definedName>
    <definedName name="Z_67539AE8_7018_11D1_AB83_00805F1D08F8_.wvu.Cols" hidden="1">[7]PE1_S!$D$1:$H$65536,[7]PE1_S!$L$1:$M$65536,[7]PE1_S!$O$1:$P$65536,[7]PE1_S!$R$1:$S$65536</definedName>
    <definedName name="Z_67539AE8_7018_11D1_AB83_00805F1D08F8_.wvu.Rows" hidden="1">[7]PE1_S!$A$22:$IV$23</definedName>
    <definedName name="Z_78668872_6450_11D1_AB62_00805F1D2048_.wvu.Cols" hidden="1">[7]BALSHT_S!$C$1:$H$65536</definedName>
    <definedName name="Z_78668873_6450_11D1_AB62_00805F1D2048_.wvu.Cols" hidden="1">[7]PE1_S!$D$1:$H$65536,[7]PE1_S!$L$1:$M$65536,[7]PE1_S!$O$1:$P$65536,[7]PE1_S!$R$1:$S$65536</definedName>
    <definedName name="Z_78668873_6450_11D1_AB62_00805F1D2048_.wvu.Rows" hidden="1">[7]PE1_S!$A$22:$IV$23</definedName>
    <definedName name="Z_78668A26_6450_11D1_AB62_00805F1D2048_.wvu.Cols" hidden="1">[7]BALSHT_S!$C$1:$H$65536</definedName>
    <definedName name="Z_78668A27_6450_11D1_AB62_00805F1D2048_.wvu.Cols" hidden="1">[7]PE1_S!$D$1:$H$65536,[7]PE1_S!$L$1:$M$65536,[7]PE1_S!$O$1:$P$65536,[7]PE1_S!$R$1:$S$65536</definedName>
    <definedName name="Z_78668A27_6450_11D1_AB62_00805F1D2048_.wvu.Rows" hidden="1">[7]PE1_S!$A$22:$IV$23</definedName>
    <definedName name="Z_81AF337E_7A53_11D1_AB73_00805F1D2048_.wvu.Cols" hidden="1">[7]BALSHT_S!$C$1:$H$65536</definedName>
    <definedName name="Z_81AF337F_7A53_11D1_AB73_00805F1D2048_.wvu.Cols" hidden="1">[7]PE1_S!$D$1:$H$65536,[7]PE1_S!$L$1:$M$65536,[7]PE1_S!$O$1:$P$65536,[7]PE1_S!$R$1:$S$65536</definedName>
    <definedName name="Z_81AF337F_7A53_11D1_AB73_00805F1D2048_.wvu.Rows" hidden="1">[7]PE1_S!$A$22:$IV$23</definedName>
    <definedName name="Z_9431393B_8BB4_11D1_AB82_00805F1D2048_.wvu.Cols" hidden="1">[7]BALSHT_S!$C$1:$H$65536</definedName>
    <definedName name="Z_9431393C_8BB4_11D1_AB82_00805F1D2048_.wvu.Cols" hidden="1">[7]PE1_S!$D$1:$H$65536,[7]PE1_S!$L$1:$M$65536,[7]PE1_S!$O$1:$P$65536,[7]PE1_S!$R$1:$S$65536</definedName>
    <definedName name="Z_9431393C_8BB4_11D1_AB82_00805F1D2048_.wvu.Rows" hidden="1">[7]PE1_S!$A$22:$IV$23</definedName>
    <definedName name="Z_A399A71D_4368_11D1_AB57_00805F1D08F8_.wvu.Cols" hidden="1">[7]BALSHT_S!$C$1:$H$65536</definedName>
    <definedName name="Z_A399A71E_4368_11D1_AB57_00805F1D08F8_.wvu.Cols" hidden="1">[7]PE1_S!$D$1:$H$65536,[7]PE1_S!$L$1:$M$65536,[7]PE1_S!$O$1:$P$65536,[7]PE1_S!$R$1:$S$65536</definedName>
    <definedName name="Z_A399A71E_4368_11D1_AB57_00805F1D08F8_.wvu.Rows" hidden="1">[7]PE1_S!$A$22:$IV$23</definedName>
    <definedName name="Z_BAD6B5D0_6209_11D1_AB61_00805F1D2048_.wvu.Cols" hidden="1">[7]BALSHT_S!$C$1:$H$65536</definedName>
    <definedName name="Z_BAD6B5D1_6209_11D1_AB61_00805F1D2048_.wvu.Cols" hidden="1">[7]PE1_S!$D$1:$H$65536,[7]PE1_S!$L$1:$M$65536,[7]PE1_S!$O$1:$P$65536,[7]PE1_S!$R$1:$S$65536</definedName>
    <definedName name="Z_BAD6B5D1_6209_11D1_AB61_00805F1D2048_.wvu.Rows" hidden="1">[7]PE1_S!$A$22:$IV$23</definedName>
    <definedName name="Z_C743300D_5626_11D1_AB56_00805F1D2048_.wvu.Cols" hidden="1">[7]BALSHT_S!$C$1:$H$65536</definedName>
    <definedName name="Z_C743300E_5626_11D1_AB56_00805F1D2048_.wvu.Cols" hidden="1">[7]PE1_S!$D$1:$H$65536,[7]PE1_S!$L$1:$M$65536,[7]PE1_S!$O$1:$P$65536,[7]PE1_S!$R$1:$S$65536</definedName>
    <definedName name="Z_C743300E_5626_11D1_AB56_00805F1D2048_.wvu.Rows" hidden="1">[7]PE1_S!$A$22:$IV$23</definedName>
    <definedName name="Z_C7433013_5626_11D1_AB56_00805F1D2048_.wvu.Cols" hidden="1">[7]BALSHT_S!$C$1:$H$65536</definedName>
    <definedName name="Z_C7433014_5626_11D1_AB56_00805F1D2048_.wvu.Cols" hidden="1">[7]PE1_S!$D$1:$H$65536,[7]PE1_S!$L$1:$M$65536,[7]PE1_S!$O$1:$P$65536,[7]PE1_S!$R$1:$S$65536</definedName>
    <definedName name="Z_C7433014_5626_11D1_AB56_00805F1D2048_.wvu.Rows" hidden="1">[7]PE1_S!$A$22:$IV$23</definedName>
    <definedName name="Z_D54F9874_4E48_11D1_AB4F_00805F1D2048_.wvu.Cols" hidden="1">[7]BALSHT_S!$C$1:$H$65536</definedName>
    <definedName name="Z_D54F9875_4E48_11D1_AB4F_00805F1D2048_.wvu.Cols" hidden="1">[7]PE1_S!$D$1:$H$65536,[7]PE1_S!$L$1:$M$65536,[7]PE1_S!$O$1:$P$65536,[7]PE1_S!$R$1:$S$65536</definedName>
    <definedName name="Z_D54F9875_4E48_11D1_AB4F_00805F1D2048_.wvu.Rows" hidden="1">[7]PE1_S!$A$22:$IV$23</definedName>
    <definedName name="Z_D54F996E_4E48_11D1_AB4F_00805F1D2048_.wvu.Cols" hidden="1">[7]BALSHT_S!$C$1:$H$65536</definedName>
    <definedName name="Z_D54F996F_4E48_11D1_AB4F_00805F1D2048_.wvu.Cols" hidden="1">[7]PE1_S!$D$1:$H$65536,[7]PE1_S!$L$1:$M$65536,[7]PE1_S!$O$1:$P$65536,[7]PE1_S!$R$1:$S$65536</definedName>
    <definedName name="Z_D54F996F_4E48_11D1_AB4F_00805F1D2048_.wvu.Rows" hidden="1">[7]PE1_S!$A$22:$IV$23</definedName>
    <definedName name="Z_D62B3FE5_56F6_11D1_AB57_00805F1D2048_.wvu.Cols" hidden="1">[7]BALSHT_S!$C$1:$H$65536</definedName>
    <definedName name="Z_D62B3FE6_56F6_11D1_AB57_00805F1D2048_.wvu.Cols" hidden="1">[7]PE1_S!$D$1:$H$65536,[7]PE1_S!$L$1:$M$65536,[7]PE1_S!$O$1:$P$65536,[7]PE1_S!$R$1:$S$65536</definedName>
    <definedName name="Z_D62B3FE6_56F6_11D1_AB57_00805F1D2048_.wvu.Rows" hidden="1">[7]PE1_S!$A$22:$IV$23</definedName>
    <definedName name="Z_DCBAD063_2D80_11D1_AB5C_00805F466D8F_.wvu.Cols" hidden="1">[7]BALSHT_S!$C$1:$H$65536</definedName>
    <definedName name="Z_DCBAD064_2D80_11D1_AB5C_00805F466D8F_.wvu.Cols" hidden="1">[7]PE1_S!$D$1:$H$65536,[7]PE1_S!$L$1:$M$65536,[7]PE1_S!$O$1:$P$65536,[7]PE1_S!$R$1:$S$65536</definedName>
    <definedName name="Z_DCBAD064_2D80_11D1_AB5C_00805F466D8F_.wvu.Rows" hidden="1">[7]PE1_S!$A$22:$IV$23</definedName>
    <definedName name="Z_EC399ADF_4413_11D1_AB58_00805F1D08F8_.wvu.Cols" hidden="1">[7]BALSHT_S!$C$1:$H$65536</definedName>
    <definedName name="Z_EC399AE0_4413_11D1_AB58_00805F1D08F8_.wvu.Cols" hidden="1">[7]PE1_S!$D$1:$H$65536,[7]PE1_S!$L$1:$M$65536,[7]PE1_S!$O$1:$P$65536,[7]PE1_S!$R$1:$S$65536</definedName>
    <definedName name="Z_EC399AE0_4413_11D1_AB58_00805F1D08F8_.wvu.Rows" hidden="1">[7]PE1_S!$A$22:$IV$23</definedName>
    <definedName name="Z_F8F432B7_2D4F_11D1_AB36_00805F1DF014_.wvu.Cols" hidden="1">[7]BALSHT_S!$C$1:$H$65536</definedName>
    <definedName name="Z_F8F432B8_2D4F_11D1_AB36_00805F1DF014_.wvu.Cols" hidden="1">[7]PE1_S!$D$1:$H$65536,[7]PE1_S!$L$1:$M$65536,[7]PE1_S!$O$1:$P$65536,[7]PE1_S!$R$1:$S$65536</definedName>
    <definedName name="Z_F8F432B8_2D4F_11D1_AB36_00805F1DF014_.wvu.Rows" hidden="1">[7]PE1_S!$A$22:$IV$23</definedName>
    <definedName name="Z_F97BFBDE_2894_11D1_AB3A_00805F1D08F8_.wvu.Cols" hidden="1">[7]BALSHT_S!$C$1:$H$65536</definedName>
    <definedName name="Z_F97BFBDF_2894_11D1_AB3A_00805F1D08F8_.wvu.Cols" hidden="1">[7]PE1_S!$D$1:$H$65536,[7]PE1_S!$L$1:$M$65536,[7]PE1_S!$O$1:$P$65536,[7]PE1_S!$R$1:$S$65536</definedName>
    <definedName name="Z_F97BFBDF_2894_11D1_AB3A_00805F1D08F8_.wvu.Rows" hidden="1">[7]PE1_S!$A$22:$IV$23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7" l="1"/>
  <c r="I4" i="17"/>
  <c r="I5" i="17"/>
  <c r="I6" i="17"/>
  <c r="I7" i="17"/>
  <c r="H7" i="17"/>
  <c r="H6" i="17"/>
  <c r="H5" i="17"/>
  <c r="H4" i="17"/>
  <c r="H3" i="17"/>
  <c r="C5" i="17"/>
  <c r="G159" i="2"/>
  <c r="F159" i="2"/>
  <c r="J505" i="5"/>
  <c r="J499" i="5"/>
  <c r="J496" i="5"/>
  <c r="J490" i="5"/>
  <c r="J498" i="5" s="1"/>
  <c r="J489" i="5"/>
  <c r="J488" i="5"/>
  <c r="J487" i="5"/>
  <c r="J477" i="5"/>
  <c r="J479" i="5"/>
  <c r="J497" i="5" s="1"/>
  <c r="J482" i="5"/>
  <c r="J483" i="5" s="1"/>
  <c r="J455" i="5"/>
  <c r="J454" i="5"/>
  <c r="J450" i="5"/>
  <c r="H424" i="5"/>
  <c r="J424" i="5"/>
  <c r="H418" i="5"/>
  <c r="J418" i="5"/>
  <c r="H412" i="5"/>
  <c r="J412" i="5"/>
  <c r="I426" i="5"/>
  <c r="G426" i="5"/>
  <c r="H423" i="5"/>
  <c r="I423" i="5"/>
  <c r="G423" i="5"/>
  <c r="J121" i="5"/>
  <c r="J423" i="5" s="1"/>
  <c r="J399" i="5"/>
  <c r="J403" i="5"/>
  <c r="J407" i="5"/>
  <c r="J408" i="5"/>
  <c r="J417" i="5"/>
  <c r="J362" i="5"/>
  <c r="J367" i="5"/>
  <c r="J372" i="5"/>
  <c r="J341" i="5"/>
  <c r="J340" i="5"/>
  <c r="J352" i="5" s="1"/>
  <c r="J300" i="5"/>
  <c r="J304" i="5" s="1"/>
  <c r="J333" i="5"/>
  <c r="J325" i="5"/>
  <c r="J316" i="5"/>
  <c r="J294" i="5"/>
  <c r="J281" i="5"/>
  <c r="J273" i="5"/>
  <c r="J274" i="5"/>
  <c r="J269" i="5"/>
  <c r="J270" i="5"/>
  <c r="J259" i="5"/>
  <c r="J353" i="5" s="1"/>
  <c r="J258" i="5"/>
  <c r="J255" i="5"/>
  <c r="J279" i="5"/>
  <c r="J385" i="5" s="1"/>
  <c r="J224" i="5"/>
  <c r="J223" i="5"/>
  <c r="J222" i="5"/>
  <c r="J217" i="5"/>
  <c r="J227" i="5" s="1"/>
  <c r="J229" i="5"/>
  <c r="J221" i="5"/>
  <c r="J203" i="5"/>
  <c r="I167" i="5"/>
  <c r="G167" i="5"/>
  <c r="J142" i="5"/>
  <c r="H142" i="5"/>
  <c r="F142" i="5"/>
  <c r="J493" i="5" l="1"/>
  <c r="J478" i="5"/>
  <c r="J502" i="5"/>
  <c r="J501" i="5"/>
  <c r="J409" i="5"/>
  <c r="J265" i="5"/>
  <c r="J387" i="5" s="1"/>
  <c r="J388" i="5" s="1"/>
  <c r="J376" i="5"/>
  <c r="J339" i="5"/>
  <c r="J342" i="5" s="1"/>
  <c r="J305" i="5"/>
  <c r="J346" i="5"/>
  <c r="J347" i="5" s="1"/>
  <c r="J276" i="5"/>
  <c r="J280" i="5" s="1"/>
  <c r="J284" i="5" s="1"/>
  <c r="J226" i="5"/>
  <c r="J345" i="5"/>
  <c r="J356" i="5"/>
  <c r="J351" i="5" s="1"/>
  <c r="J326" i="5"/>
  <c r="J334" i="5" s="1"/>
  <c r="J176" i="5" l="1"/>
  <c r="J177" i="5"/>
  <c r="J175" i="5"/>
  <c r="J174" i="5"/>
  <c r="J173" i="5"/>
  <c r="J172" i="5"/>
  <c r="J234" i="5" s="1"/>
  <c r="J235" i="5" s="1"/>
  <c r="J165" i="5"/>
  <c r="J164" i="5"/>
  <c r="J157" i="5"/>
  <c r="J155" i="5"/>
  <c r="J152" i="5"/>
  <c r="J460" i="5" s="1"/>
  <c r="J151" i="5"/>
  <c r="J149" i="5"/>
  <c r="J169" i="5" s="1"/>
  <c r="J147" i="5"/>
  <c r="J146" i="5"/>
  <c r="J144" i="5"/>
  <c r="J126" i="5"/>
  <c r="J124" i="5"/>
  <c r="J123" i="5"/>
  <c r="J120" i="5"/>
  <c r="J119" i="5"/>
  <c r="J117" i="5"/>
  <c r="J116" i="5"/>
  <c r="J115" i="5"/>
  <c r="J113" i="5"/>
  <c r="J112" i="5"/>
  <c r="J110" i="5"/>
  <c r="J109" i="5"/>
  <c r="J108" i="5"/>
  <c r="J106" i="5"/>
  <c r="J105" i="5"/>
  <c r="J87" i="5"/>
  <c r="J86" i="5"/>
  <c r="J85" i="5"/>
  <c r="J84" i="5"/>
  <c r="J83" i="5"/>
  <c r="J75" i="5"/>
  <c r="J210" i="5" s="1"/>
  <c r="J68" i="5"/>
  <c r="J64" i="5"/>
  <c r="J211" i="5" s="1"/>
  <c r="Q24" i="9"/>
  <c r="Q29" i="9" s="1"/>
  <c r="Q2" i="9"/>
  <c r="Q28" i="9"/>
  <c r="Q27" i="9"/>
  <c r="U31" i="9"/>
  <c r="V31" i="9" s="1"/>
  <c r="F194" i="2"/>
  <c r="E194" i="2"/>
  <c r="G311" i="6"/>
  <c r="F311" i="6"/>
  <c r="F309" i="6"/>
  <c r="F308" i="6"/>
  <c r="E311" i="6"/>
  <c r="E309" i="6"/>
  <c r="E308" i="6"/>
  <c r="J80" i="5" l="1"/>
  <c r="J79" i="5"/>
  <c r="J168" i="5"/>
  <c r="J133" i="5"/>
  <c r="J249" i="5"/>
  <c r="J426" i="5"/>
  <c r="J100" i="5"/>
  <c r="J99" i="5"/>
  <c r="J371" i="5"/>
  <c r="J373" i="5" s="1"/>
  <c r="J366" i="5"/>
  <c r="J368" i="5" s="1"/>
  <c r="J361" i="5"/>
  <c r="J363" i="5" s="1"/>
  <c r="J350" i="5"/>
  <c r="J154" i="5"/>
  <c r="J238" i="5"/>
  <c r="J239" i="5"/>
  <c r="J134" i="5"/>
  <c r="J167" i="5"/>
  <c r="J243" i="5"/>
  <c r="J242" i="5"/>
  <c r="J76" i="5"/>
  <c r="J135" i="5"/>
  <c r="J136" i="5"/>
  <c r="J138" i="5"/>
  <c r="J69" i="5"/>
  <c r="J71" i="5"/>
  <c r="J72" i="5" s="1"/>
  <c r="J137" i="5"/>
  <c r="J97" i="5"/>
  <c r="J98" i="5"/>
  <c r="E310" i="6"/>
  <c r="F310" i="6"/>
  <c r="M490" i="5"/>
  <c r="N490" i="5"/>
  <c r="O490" i="5"/>
  <c r="P490" i="5"/>
  <c r="Q490" i="5"/>
  <c r="R490" i="5"/>
  <c r="S490" i="5"/>
  <c r="T490" i="5"/>
  <c r="U490" i="5"/>
  <c r="V490" i="5"/>
  <c r="W490" i="5"/>
  <c r="X490" i="5"/>
  <c r="Y490" i="5"/>
  <c r="Z490" i="5"/>
  <c r="AA490" i="5"/>
  <c r="AB490" i="5"/>
  <c r="AC490" i="5"/>
  <c r="AD490" i="5"/>
  <c r="AE490" i="5"/>
  <c r="AF490" i="5"/>
  <c r="AG490" i="5"/>
  <c r="AH490" i="5"/>
  <c r="AI490" i="5"/>
  <c r="AJ490" i="5"/>
  <c r="AK490" i="5"/>
  <c r="AL490" i="5"/>
  <c r="L490" i="5"/>
  <c r="Z29" i="4" l="1"/>
  <c r="Z38" i="4" s="1"/>
  <c r="Y29" i="4"/>
  <c r="Y35" i="4" s="1"/>
  <c r="V72" i="4"/>
  <c r="W72" i="4"/>
  <c r="X72" i="4"/>
  <c r="U72" i="4"/>
  <c r="V75" i="4"/>
  <c r="W75" i="4"/>
  <c r="X75" i="4"/>
  <c r="U75" i="4"/>
  <c r="X85" i="4"/>
  <c r="X84" i="4"/>
  <c r="W63" i="4"/>
  <c r="V63" i="4"/>
  <c r="U63" i="4"/>
  <c r="Y38" i="4" l="1"/>
  <c r="Y41" i="4" s="1"/>
  <c r="X87" i="4"/>
  <c r="Y42" i="4" l="1"/>
  <c r="Y43" i="4"/>
  <c r="X63" i="4"/>
  <c r="V74" i="4"/>
  <c r="V78" i="4" s="1"/>
  <c r="W74" i="4"/>
  <c r="W78" i="4" s="1"/>
  <c r="X74" i="4"/>
  <c r="X78" i="4" s="1"/>
  <c r="U74" i="4"/>
  <c r="U78" i="4" s="1"/>
  <c r="K269" i="5"/>
  <c r="L269" i="5"/>
  <c r="M269" i="5"/>
  <c r="N269" i="5"/>
  <c r="O269" i="5"/>
  <c r="P269" i="5"/>
  <c r="Q269" i="5"/>
  <c r="R269" i="5"/>
  <c r="S269" i="5"/>
  <c r="T269" i="5"/>
  <c r="U269" i="5"/>
  <c r="V269" i="5"/>
  <c r="W269" i="5"/>
  <c r="X269" i="5"/>
  <c r="Y269" i="5"/>
  <c r="Z269" i="5"/>
  <c r="AA269" i="5"/>
  <c r="AB269" i="5"/>
  <c r="AC269" i="5"/>
  <c r="AD269" i="5"/>
  <c r="AE269" i="5"/>
  <c r="AF269" i="5"/>
  <c r="AG269" i="5"/>
  <c r="AH269" i="5"/>
  <c r="AI269" i="5"/>
  <c r="AJ269" i="5"/>
  <c r="AK269" i="5"/>
  <c r="AL269" i="5"/>
  <c r="G397" i="5"/>
  <c r="X92" i="4"/>
  <c r="X90" i="4"/>
  <c r="X43" i="4"/>
  <c r="X42" i="4"/>
  <c r="X38" i="4"/>
  <c r="X39" i="4" s="1"/>
  <c r="X36" i="4"/>
  <c r="X30" i="4"/>
  <c r="W43" i="4" l="1"/>
  <c r="V43" i="4"/>
  <c r="U43" i="4"/>
  <c r="T43" i="4"/>
  <c r="S43" i="4"/>
  <c r="R43" i="4"/>
  <c r="Q43" i="4"/>
  <c r="P43" i="4"/>
  <c r="O43" i="4"/>
  <c r="N43" i="4"/>
  <c r="M43" i="4"/>
  <c r="AE20" i="16"/>
  <c r="AE19" i="16"/>
  <c r="AE11" i="16"/>
  <c r="AE9" i="16"/>
  <c r="F16" i="16"/>
  <c r="G16" i="16"/>
  <c r="H16" i="16"/>
  <c r="I16" i="16"/>
  <c r="J16" i="16"/>
  <c r="K16" i="16"/>
  <c r="L16" i="16"/>
  <c r="M16" i="16"/>
  <c r="N16" i="16"/>
  <c r="O16" i="16"/>
  <c r="O20" i="16" s="1"/>
  <c r="P16" i="16"/>
  <c r="Q16" i="16"/>
  <c r="R16" i="16"/>
  <c r="S16" i="16"/>
  <c r="T16" i="16"/>
  <c r="U16" i="16"/>
  <c r="V16" i="16"/>
  <c r="W16" i="16"/>
  <c r="X16" i="16"/>
  <c r="Y16" i="16"/>
  <c r="Z16" i="16"/>
  <c r="AA16" i="16"/>
  <c r="AB16" i="16"/>
  <c r="E16" i="16"/>
  <c r="F15" i="16"/>
  <c r="G15" i="16"/>
  <c r="H15" i="16"/>
  <c r="I15" i="16"/>
  <c r="J15" i="16"/>
  <c r="K15" i="16"/>
  <c r="L15" i="16"/>
  <c r="M15" i="16"/>
  <c r="N15" i="16"/>
  <c r="O15" i="16"/>
  <c r="P15" i="16"/>
  <c r="Q15" i="16"/>
  <c r="R15" i="16"/>
  <c r="S15" i="16"/>
  <c r="T15" i="16"/>
  <c r="U15" i="16"/>
  <c r="V15" i="16"/>
  <c r="W15" i="16"/>
  <c r="X15" i="16"/>
  <c r="Y15" i="16"/>
  <c r="Z15" i="16"/>
  <c r="AA15" i="16"/>
  <c r="AB15" i="16"/>
  <c r="E15" i="16"/>
  <c r="AE2" i="16"/>
  <c r="AE5" i="16" s="1"/>
  <c r="F7" i="16"/>
  <c r="G7" i="16"/>
  <c r="H7" i="16"/>
  <c r="I7" i="16"/>
  <c r="J7" i="16"/>
  <c r="K7" i="16"/>
  <c r="L7" i="16"/>
  <c r="M7" i="16"/>
  <c r="N7" i="16"/>
  <c r="O7" i="16"/>
  <c r="Q7" i="16"/>
  <c r="R7" i="16"/>
  <c r="S7" i="16"/>
  <c r="T7" i="16"/>
  <c r="U7" i="16"/>
  <c r="V7" i="16"/>
  <c r="W7" i="16"/>
  <c r="X7" i="16"/>
  <c r="Y7" i="16"/>
  <c r="Z7" i="16"/>
  <c r="AA7" i="16"/>
  <c r="AB7" i="16"/>
  <c r="F8" i="16"/>
  <c r="G8" i="16"/>
  <c r="H8" i="16"/>
  <c r="I8" i="16"/>
  <c r="J8" i="16"/>
  <c r="K8" i="16"/>
  <c r="L8" i="16"/>
  <c r="M8" i="16"/>
  <c r="N8" i="16"/>
  <c r="O8" i="16"/>
  <c r="Q8" i="16"/>
  <c r="S8" i="16"/>
  <c r="T8" i="16"/>
  <c r="U8" i="16"/>
  <c r="V8" i="16"/>
  <c r="W8" i="16"/>
  <c r="X8" i="16"/>
  <c r="Y8" i="16"/>
  <c r="Z8" i="16"/>
  <c r="AA8" i="16"/>
  <c r="AB8" i="16"/>
  <c r="F10" i="16"/>
  <c r="G10" i="16"/>
  <c r="H10" i="16"/>
  <c r="I10" i="16"/>
  <c r="J10" i="16"/>
  <c r="K10" i="16"/>
  <c r="L10" i="16"/>
  <c r="M10" i="16"/>
  <c r="N10" i="16"/>
  <c r="O10" i="16"/>
  <c r="Q10" i="16"/>
  <c r="S10" i="16"/>
  <c r="T10" i="16"/>
  <c r="U10" i="16"/>
  <c r="V10" i="16"/>
  <c r="W10" i="16"/>
  <c r="X10" i="16"/>
  <c r="Y10" i="16"/>
  <c r="Z10" i="16"/>
  <c r="AA10" i="16"/>
  <c r="AB10" i="16"/>
  <c r="E10" i="16"/>
  <c r="E8" i="16"/>
  <c r="E7" i="16"/>
  <c r="BO20" i="16"/>
  <c r="BN20" i="16"/>
  <c r="BM20" i="16"/>
  <c r="BL20" i="16"/>
  <c r="BK20" i="16"/>
  <c r="BJ20" i="16"/>
  <c r="BI20" i="16"/>
  <c r="BH20" i="16"/>
  <c r="BG20" i="16"/>
  <c r="BF20" i="16"/>
  <c r="BE20" i="16"/>
  <c r="BD20" i="16"/>
  <c r="BC20" i="16"/>
  <c r="BB20" i="16"/>
  <c r="BA20" i="16"/>
  <c r="AZ20" i="16"/>
  <c r="AY20" i="16"/>
  <c r="AX20" i="16"/>
  <c r="AW20" i="16"/>
  <c r="AV20" i="16"/>
  <c r="AU20" i="16"/>
  <c r="AT20" i="16"/>
  <c r="AS20" i="16"/>
  <c r="AR20" i="16"/>
  <c r="AI20" i="16"/>
  <c r="AI19" i="16"/>
  <c r="AI16" i="16"/>
  <c r="AJ16" i="16" s="1"/>
  <c r="AI15" i="16"/>
  <c r="AJ15" i="16" s="1"/>
  <c r="AI13" i="16"/>
  <c r="AG13" i="16"/>
  <c r="AD13" i="16"/>
  <c r="BO11" i="16"/>
  <c r="BO19" i="16" s="1"/>
  <c r="BN11" i="16"/>
  <c r="BN19" i="16" s="1"/>
  <c r="BM11" i="16"/>
  <c r="BM19" i="16" s="1"/>
  <c r="BL11" i="16"/>
  <c r="BL19" i="16" s="1"/>
  <c r="BK11" i="16"/>
  <c r="BK19" i="16" s="1"/>
  <c r="BJ11" i="16"/>
  <c r="BJ19" i="16" s="1"/>
  <c r="BI11" i="16"/>
  <c r="BI19" i="16" s="1"/>
  <c r="BH11" i="16"/>
  <c r="BH19" i="16" s="1"/>
  <c r="BG11" i="16"/>
  <c r="BG19" i="16" s="1"/>
  <c r="BF11" i="16"/>
  <c r="BF19" i="16" s="1"/>
  <c r="BE11" i="16"/>
  <c r="BE19" i="16" s="1"/>
  <c r="BD11" i="16"/>
  <c r="BD19" i="16" s="1"/>
  <c r="BC11" i="16"/>
  <c r="BC19" i="16" s="1"/>
  <c r="BB11" i="16"/>
  <c r="BB19" i="16" s="1"/>
  <c r="BA11" i="16"/>
  <c r="BA19" i="16" s="1"/>
  <c r="AZ11" i="16"/>
  <c r="AZ19" i="16" s="1"/>
  <c r="AY11" i="16"/>
  <c r="AY19" i="16" s="1"/>
  <c r="AX11" i="16"/>
  <c r="AX19" i="16" s="1"/>
  <c r="AW11" i="16"/>
  <c r="AW19" i="16" s="1"/>
  <c r="AV11" i="16"/>
  <c r="AV19" i="16" s="1"/>
  <c r="AU11" i="16"/>
  <c r="AU19" i="16" s="1"/>
  <c r="AT11" i="16"/>
  <c r="AT19" i="16" s="1"/>
  <c r="AS11" i="16"/>
  <c r="AS19" i="16" s="1"/>
  <c r="AR11" i="16"/>
  <c r="AR19" i="16" s="1"/>
  <c r="AI11" i="16"/>
  <c r="BO9" i="16"/>
  <c r="BN9" i="16"/>
  <c r="BM9" i="16"/>
  <c r="BL9" i="16"/>
  <c r="BK9" i="16"/>
  <c r="BJ9" i="16"/>
  <c r="BI9" i="16"/>
  <c r="BH9" i="16"/>
  <c r="BG9" i="16"/>
  <c r="BF9" i="16"/>
  <c r="BE9" i="16"/>
  <c r="BD9" i="16"/>
  <c r="BC9" i="16"/>
  <c r="BB9" i="16"/>
  <c r="BA9" i="16"/>
  <c r="AZ9" i="16"/>
  <c r="AY9" i="16"/>
  <c r="AX9" i="16"/>
  <c r="AW9" i="16"/>
  <c r="AV9" i="16"/>
  <c r="AU9" i="16"/>
  <c r="AT9" i="16"/>
  <c r="AS9" i="16"/>
  <c r="AR9" i="16"/>
  <c r="AI9" i="16"/>
  <c r="AI5" i="16"/>
  <c r="AG5" i="16"/>
  <c r="AD5" i="16"/>
  <c r="C4" i="16"/>
  <c r="I128" i="5"/>
  <c r="G128" i="5"/>
  <c r="F207" i="2"/>
  <c r="E207" i="2"/>
  <c r="F254" i="2"/>
  <c r="AJ19" i="16" l="1"/>
  <c r="AJ20" i="16"/>
  <c r="Q20" i="16"/>
  <c r="DB20" i="16" s="1"/>
  <c r="U20" i="16"/>
  <c r="V20" i="16"/>
  <c r="DG20" i="16" s="1"/>
  <c r="J20" i="16"/>
  <c r="H19" i="16"/>
  <c r="CS19" i="16" s="1"/>
  <c r="N20" i="16"/>
  <c r="CY20" i="16" s="1"/>
  <c r="Z20" i="16"/>
  <c r="DK20" i="16" s="1"/>
  <c r="E11" i="16"/>
  <c r="CP11" i="16" s="1"/>
  <c r="I20" i="16"/>
  <c r="CT20" i="16" s="1"/>
  <c r="X11" i="16"/>
  <c r="DI11" i="16" s="1"/>
  <c r="L19" i="16"/>
  <c r="CW19" i="16" s="1"/>
  <c r="Y20" i="16"/>
  <c r="DJ20" i="16" s="1"/>
  <c r="W11" i="16"/>
  <c r="DH11" i="16" s="1"/>
  <c r="AE13" i="16"/>
  <c r="T20" i="16"/>
  <c r="DE20" i="16" s="1"/>
  <c r="N9" i="16"/>
  <c r="CY9" i="16" s="1"/>
  <c r="W19" i="16"/>
  <c r="DH19" i="16" s="1"/>
  <c r="G19" i="16"/>
  <c r="CR19" i="16" s="1"/>
  <c r="E19" i="16"/>
  <c r="CP19" i="16" s="1"/>
  <c r="U19" i="16"/>
  <c r="DF19" i="16" s="1"/>
  <c r="E20" i="16"/>
  <c r="CP20" i="16" s="1"/>
  <c r="M20" i="16"/>
  <c r="CX20" i="16" s="1"/>
  <c r="G9" i="16"/>
  <c r="CR9" i="16" s="1"/>
  <c r="V19" i="16"/>
  <c r="DG19" i="16" s="1"/>
  <c r="F19" i="16"/>
  <c r="CQ19" i="16" s="1"/>
  <c r="W9" i="16"/>
  <c r="DH9" i="16" s="1"/>
  <c r="V9" i="16"/>
  <c r="DG9" i="16" s="1"/>
  <c r="K11" i="16"/>
  <c r="CV11" i="16" s="1"/>
  <c r="AB20" i="16"/>
  <c r="DM20" i="16" s="1"/>
  <c r="L20" i="16"/>
  <c r="CW20" i="16" s="1"/>
  <c r="Y11" i="16"/>
  <c r="DJ11" i="16" s="1"/>
  <c r="F9" i="16"/>
  <c r="CQ9" i="16" s="1"/>
  <c r="AA20" i="16"/>
  <c r="DL20" i="16" s="1"/>
  <c r="K20" i="16"/>
  <c r="CV20" i="16" s="1"/>
  <c r="E9" i="16"/>
  <c r="CP9" i="16" s="1"/>
  <c r="AB19" i="16"/>
  <c r="DM19" i="16" s="1"/>
  <c r="AJ11" i="16"/>
  <c r="X20" i="16"/>
  <c r="DI20" i="16" s="1"/>
  <c r="H20" i="16"/>
  <c r="CS20" i="16" s="1"/>
  <c r="O19" i="16"/>
  <c r="CZ19" i="16" s="1"/>
  <c r="W20" i="16"/>
  <c r="DH20" i="16" s="1"/>
  <c r="G20" i="16"/>
  <c r="CR20" i="16" s="1"/>
  <c r="N19" i="16"/>
  <c r="CY19" i="16" s="1"/>
  <c r="F20" i="16"/>
  <c r="CQ20" i="16" s="1"/>
  <c r="V11" i="16"/>
  <c r="DG11" i="16" s="1"/>
  <c r="M19" i="16"/>
  <c r="CX19" i="16" s="1"/>
  <c r="AA9" i="16"/>
  <c r="DL9" i="16" s="1"/>
  <c r="AA19" i="16"/>
  <c r="DL19" i="16" s="1"/>
  <c r="K19" i="16"/>
  <c r="CV19" i="16" s="1"/>
  <c r="S20" i="16"/>
  <c r="DD20" i="16" s="1"/>
  <c r="X19" i="16"/>
  <c r="DI19" i="16" s="1"/>
  <c r="S19" i="16"/>
  <c r="DD19" i="16" s="1"/>
  <c r="Z9" i="16"/>
  <c r="DK9" i="16" s="1"/>
  <c r="Z19" i="16"/>
  <c r="DK19" i="16" s="1"/>
  <c r="J19" i="16"/>
  <c r="CU19" i="16" s="1"/>
  <c r="Y9" i="16"/>
  <c r="DJ9" i="16" s="1"/>
  <c r="Y19" i="16"/>
  <c r="DJ19" i="16" s="1"/>
  <c r="I19" i="16"/>
  <c r="CT19" i="16" s="1"/>
  <c r="Q19" i="16"/>
  <c r="DB19" i="16" s="1"/>
  <c r="X9" i="16"/>
  <c r="DI9" i="16" s="1"/>
  <c r="H9" i="16"/>
  <c r="CS9" i="16" s="1"/>
  <c r="O9" i="16"/>
  <c r="CZ9" i="16" s="1"/>
  <c r="T19" i="16"/>
  <c r="DE19" i="16" s="1"/>
  <c r="AJ9" i="16"/>
  <c r="AB9" i="16"/>
  <c r="DM9" i="16" s="1"/>
  <c r="L9" i="16"/>
  <c r="CW9" i="16" s="1"/>
  <c r="K9" i="16"/>
  <c r="CV9" i="16" s="1"/>
  <c r="J9" i="16"/>
  <c r="CU9" i="16" s="1"/>
  <c r="DF20" i="16"/>
  <c r="I9" i="16"/>
  <c r="CT9" i="16" s="1"/>
  <c r="G11" i="16"/>
  <c r="CR11" i="16" s="1"/>
  <c r="U11" i="16"/>
  <c r="DF11" i="16" s="1"/>
  <c r="T11" i="16"/>
  <c r="DE11" i="16" s="1"/>
  <c r="CZ20" i="16"/>
  <c r="M11" i="16"/>
  <c r="CX11" i="16" s="1"/>
  <c r="Z11" i="16"/>
  <c r="DK11" i="16" s="1"/>
  <c r="J11" i="16"/>
  <c r="CU11" i="16" s="1"/>
  <c r="O11" i="16"/>
  <c r="CZ11" i="16" s="1"/>
  <c r="M9" i="16"/>
  <c r="CX9" i="16" s="1"/>
  <c r="S11" i="16"/>
  <c r="DD11" i="16" s="1"/>
  <c r="Q11" i="16"/>
  <c r="DB11" i="16" s="1"/>
  <c r="T9" i="16"/>
  <c r="DE9" i="16" s="1"/>
  <c r="AA11" i="16"/>
  <c r="DL11" i="16" s="1"/>
  <c r="Q9" i="16"/>
  <c r="DB9" i="16" s="1"/>
  <c r="I11" i="16"/>
  <c r="CT11" i="16" s="1"/>
  <c r="S9" i="16"/>
  <c r="DD9" i="16" s="1"/>
  <c r="F11" i="16"/>
  <c r="CQ11" i="16" s="1"/>
  <c r="N11" i="16"/>
  <c r="CY11" i="16" s="1"/>
  <c r="U9" i="16"/>
  <c r="DF9" i="16" s="1"/>
  <c r="H11" i="16"/>
  <c r="CS11" i="16" s="1"/>
  <c r="CU20" i="16"/>
  <c r="L11" i="16"/>
  <c r="CW11" i="16" s="1"/>
  <c r="AB11" i="16"/>
  <c r="DM11" i="16" s="1"/>
  <c r="B109" i="6"/>
  <c r="D579" i="5"/>
  <c r="D582" i="5" s="1" a="1"/>
  <c r="D582" i="5" s="1"/>
  <c r="D591" i="5" s="1"/>
  <c r="D574" i="5"/>
  <c r="G249" i="5"/>
  <c r="I249" i="5"/>
  <c r="E249" i="5"/>
  <c r="D562" i="5" l="1"/>
  <c r="B94" i="6"/>
  <c r="B106" i="6"/>
  <c r="B107" i="6"/>
  <c r="H107" i="6"/>
  <c r="I107" i="6"/>
  <c r="J107" i="6"/>
  <c r="K107" i="6"/>
  <c r="L107" i="6"/>
  <c r="M107" i="6"/>
  <c r="N107" i="6"/>
  <c r="O107" i="6"/>
  <c r="P107" i="6"/>
  <c r="Q107" i="6"/>
  <c r="B108" i="6"/>
  <c r="B95" i="6"/>
  <c r="B96" i="6"/>
  <c r="H96" i="6"/>
  <c r="I96" i="6"/>
  <c r="J96" i="6"/>
  <c r="K96" i="6"/>
  <c r="L96" i="6"/>
  <c r="M96" i="6"/>
  <c r="N96" i="6"/>
  <c r="O96" i="6"/>
  <c r="P96" i="6"/>
  <c r="Q96" i="6"/>
  <c r="B97" i="6"/>
  <c r="B98" i="6"/>
  <c r="B99" i="6"/>
  <c r="B100" i="6"/>
  <c r="H100" i="6"/>
  <c r="I100" i="6"/>
  <c r="J100" i="6"/>
  <c r="K100" i="6"/>
  <c r="L100" i="6"/>
  <c r="M100" i="6"/>
  <c r="N100" i="6"/>
  <c r="O100" i="6"/>
  <c r="P100" i="6"/>
  <c r="Q100" i="6"/>
  <c r="B101" i="6"/>
  <c r="B102" i="6"/>
  <c r="B104" i="6"/>
  <c r="H104" i="6"/>
  <c r="I104" i="6"/>
  <c r="J104" i="6"/>
  <c r="K104" i="6"/>
  <c r="L104" i="6"/>
  <c r="M104" i="6"/>
  <c r="N104" i="6"/>
  <c r="O104" i="6"/>
  <c r="P104" i="6"/>
  <c r="Q104" i="6"/>
  <c r="B105" i="6"/>
  <c r="N207" i="5" l="1"/>
  <c r="O207" i="5" s="1"/>
  <c r="P207" i="5" s="1"/>
  <c r="Q207" i="5" s="1"/>
  <c r="R207" i="5" s="1"/>
  <c r="S207" i="5" s="1"/>
  <c r="T207" i="5" s="1"/>
  <c r="U207" i="5" s="1"/>
  <c r="V207" i="5" s="1"/>
  <c r="W207" i="5" s="1"/>
  <c r="X207" i="5" s="1"/>
  <c r="Y207" i="5" s="1"/>
  <c r="Z207" i="5" s="1"/>
  <c r="AA207" i="5" s="1"/>
  <c r="AB207" i="5" s="1"/>
  <c r="AC207" i="5" s="1"/>
  <c r="AD207" i="5" s="1"/>
  <c r="AE207" i="5" s="1"/>
  <c r="AF207" i="5" s="1"/>
  <c r="AG207" i="5" s="1"/>
  <c r="AH207" i="5" s="1"/>
  <c r="AI207" i="5" s="1"/>
  <c r="AJ207" i="5" s="1"/>
  <c r="AK207" i="5" s="1"/>
  <c r="AL207" i="5" s="1"/>
  <c r="AM29" i="9"/>
  <c r="AL29" i="9"/>
  <c r="AK29" i="9"/>
  <c r="AJ29" i="9"/>
  <c r="AI29" i="9"/>
  <c r="AH29" i="9"/>
  <c r="AG29" i="9"/>
  <c r="AF29" i="9"/>
  <c r="AE29" i="9"/>
  <c r="AD29" i="9"/>
  <c r="U29" i="9"/>
  <c r="V29" i="9" s="1"/>
  <c r="AM28" i="9"/>
  <c r="AL28" i="9"/>
  <c r="AK28" i="9"/>
  <c r="AJ28" i="9"/>
  <c r="AI28" i="9"/>
  <c r="AH28" i="9"/>
  <c r="AG28" i="9"/>
  <c r="AF28" i="9"/>
  <c r="AE28" i="9"/>
  <c r="AD28" i="9"/>
  <c r="U28" i="9"/>
  <c r="V28" i="9" s="1"/>
  <c r="U27" i="9"/>
  <c r="V27" i="9" s="1"/>
  <c r="U24" i="9"/>
  <c r="V24" i="9" s="1"/>
  <c r="U23" i="9"/>
  <c r="V23" i="9" s="1"/>
  <c r="U22" i="9"/>
  <c r="V22" i="9" s="1"/>
  <c r="U20" i="9"/>
  <c r="S20" i="9"/>
  <c r="Q20" i="9"/>
  <c r="P20" i="9"/>
  <c r="AM16" i="9"/>
  <c r="AM27" i="9" s="1"/>
  <c r="AL16" i="9"/>
  <c r="AL27" i="9" s="1"/>
  <c r="AK16" i="9"/>
  <c r="AK27" i="9" s="1"/>
  <c r="AJ16" i="9"/>
  <c r="AJ27" i="9" s="1"/>
  <c r="AI16" i="9"/>
  <c r="AI27" i="9" s="1"/>
  <c r="AH16" i="9"/>
  <c r="AH27" i="9" s="1"/>
  <c r="AG16" i="9"/>
  <c r="AG27" i="9" s="1"/>
  <c r="AF16" i="9"/>
  <c r="AF27" i="9" s="1"/>
  <c r="AE16" i="9"/>
  <c r="AE27" i="9" s="1"/>
  <c r="AD16" i="9"/>
  <c r="AD27" i="9" s="1"/>
  <c r="U16" i="9"/>
  <c r="V16" i="9" s="1"/>
  <c r="U14" i="9"/>
  <c r="V14" i="9" s="1"/>
  <c r="U9" i="9"/>
  <c r="V9" i="9" s="1"/>
  <c r="U8" i="9"/>
  <c r="V8" i="9" s="1"/>
  <c r="U7" i="9"/>
  <c r="V7" i="9" s="1"/>
  <c r="U5" i="9"/>
  <c r="S5" i="9"/>
  <c r="Q5" i="9"/>
  <c r="P5" i="9"/>
  <c r="C4" i="9"/>
  <c r="BO29" i="8"/>
  <c r="BN29" i="8"/>
  <c r="BM29" i="8"/>
  <c r="BL29" i="8"/>
  <c r="BK29" i="8"/>
  <c r="BJ29" i="8"/>
  <c r="BI29" i="8"/>
  <c r="BH29" i="8"/>
  <c r="BG29" i="8"/>
  <c r="BF29" i="8"/>
  <c r="BE29" i="8"/>
  <c r="BD29" i="8"/>
  <c r="BC29" i="8"/>
  <c r="BB29" i="8"/>
  <c r="BA29" i="8"/>
  <c r="AZ29" i="8"/>
  <c r="AY29" i="8"/>
  <c r="AX29" i="8"/>
  <c r="AW29" i="8"/>
  <c r="AV29" i="8"/>
  <c r="AU29" i="8"/>
  <c r="AT29" i="8"/>
  <c r="AS29" i="8"/>
  <c r="AR29" i="8"/>
  <c r="AI29" i="8"/>
  <c r="AJ29" i="8" s="1"/>
  <c r="BO28" i="8"/>
  <c r="BN28" i="8"/>
  <c r="BM28" i="8"/>
  <c r="BL28" i="8"/>
  <c r="BK28" i="8"/>
  <c r="BJ28" i="8"/>
  <c r="BI28" i="8"/>
  <c r="BH28" i="8"/>
  <c r="BG28" i="8"/>
  <c r="BF28" i="8"/>
  <c r="BE28" i="8"/>
  <c r="BD28" i="8"/>
  <c r="BC28" i="8"/>
  <c r="BB28" i="8"/>
  <c r="BA28" i="8"/>
  <c r="AZ28" i="8"/>
  <c r="AY28" i="8"/>
  <c r="AX28" i="8"/>
  <c r="AW28" i="8"/>
  <c r="AV28" i="8"/>
  <c r="AU28" i="8"/>
  <c r="AT28" i="8"/>
  <c r="AS28" i="8"/>
  <c r="AR28" i="8"/>
  <c r="AI28" i="8"/>
  <c r="AJ28" i="8" s="1"/>
  <c r="AI27" i="8"/>
  <c r="AJ27" i="8" s="1"/>
  <c r="AI24" i="8"/>
  <c r="AJ24" i="8" s="1"/>
  <c r="L24" i="8"/>
  <c r="K24" i="8"/>
  <c r="AI23" i="8"/>
  <c r="AJ23" i="8" s="1"/>
  <c r="L23" i="8"/>
  <c r="K23" i="8"/>
  <c r="I23" i="8"/>
  <c r="G23" i="8"/>
  <c r="E23" i="8"/>
  <c r="AI22" i="8"/>
  <c r="AJ22" i="8" s="1"/>
  <c r="I22" i="8"/>
  <c r="G22" i="8"/>
  <c r="E22" i="8"/>
  <c r="AI20" i="8"/>
  <c r="AG20" i="8"/>
  <c r="AD20" i="8"/>
  <c r="BO16" i="8"/>
  <c r="BO27" i="8" s="1"/>
  <c r="BN16" i="8"/>
  <c r="BN27" i="8" s="1"/>
  <c r="BM16" i="8"/>
  <c r="BM27" i="8" s="1"/>
  <c r="BL16" i="8"/>
  <c r="BL27" i="8" s="1"/>
  <c r="BK16" i="8"/>
  <c r="BK27" i="8" s="1"/>
  <c r="BJ16" i="8"/>
  <c r="BJ27" i="8" s="1"/>
  <c r="BI16" i="8"/>
  <c r="BI27" i="8" s="1"/>
  <c r="BH16" i="8"/>
  <c r="BH27" i="8" s="1"/>
  <c r="BG16" i="8"/>
  <c r="BG27" i="8" s="1"/>
  <c r="BF16" i="8"/>
  <c r="BF27" i="8" s="1"/>
  <c r="BE16" i="8"/>
  <c r="BE27" i="8" s="1"/>
  <c r="BD16" i="8"/>
  <c r="BD27" i="8" s="1"/>
  <c r="BC16" i="8"/>
  <c r="BC27" i="8" s="1"/>
  <c r="BB16" i="8"/>
  <c r="BB27" i="8" s="1"/>
  <c r="BA16" i="8"/>
  <c r="BA27" i="8" s="1"/>
  <c r="AZ16" i="8"/>
  <c r="AZ27" i="8" s="1"/>
  <c r="AY16" i="8"/>
  <c r="AY27" i="8" s="1"/>
  <c r="AX16" i="8"/>
  <c r="AX27" i="8" s="1"/>
  <c r="AW16" i="8"/>
  <c r="AW27" i="8" s="1"/>
  <c r="AV16" i="8"/>
  <c r="AV27" i="8" s="1"/>
  <c r="AU16" i="8"/>
  <c r="AU27" i="8" s="1"/>
  <c r="AT16" i="8"/>
  <c r="AT27" i="8" s="1"/>
  <c r="AS16" i="8"/>
  <c r="AS27" i="8" s="1"/>
  <c r="AR16" i="8"/>
  <c r="AR27" i="8" s="1"/>
  <c r="AI16" i="8"/>
  <c r="AJ16" i="8" s="1"/>
  <c r="I15" i="8"/>
  <c r="G15" i="8"/>
  <c r="E15" i="8"/>
  <c r="AI14" i="8"/>
  <c r="AJ14" i="8" s="1"/>
  <c r="I13" i="8"/>
  <c r="G13" i="8"/>
  <c r="E13" i="8"/>
  <c r="I12" i="8"/>
  <c r="G12" i="8"/>
  <c r="E12" i="8"/>
  <c r="AI9" i="8"/>
  <c r="AJ9" i="8" s="1"/>
  <c r="I9" i="8"/>
  <c r="CT9" i="8" s="1"/>
  <c r="G9" i="8"/>
  <c r="CR9" i="8" s="1"/>
  <c r="F9" i="8"/>
  <c r="CQ9" i="8" s="1"/>
  <c r="E9" i="8"/>
  <c r="CP9" i="8" s="1"/>
  <c r="AI8" i="8"/>
  <c r="AJ8" i="8" s="1"/>
  <c r="I8" i="8"/>
  <c r="CT8" i="8" s="1"/>
  <c r="G8" i="8"/>
  <c r="CR8" i="8" s="1"/>
  <c r="E8" i="8"/>
  <c r="CP8" i="8" s="1"/>
  <c r="AI7" i="8"/>
  <c r="AJ7" i="8" s="1"/>
  <c r="I7" i="8"/>
  <c r="CT7" i="8" s="1"/>
  <c r="G7" i="8"/>
  <c r="CR7" i="8" s="1"/>
  <c r="E7" i="8"/>
  <c r="CP7" i="8" s="1"/>
  <c r="AI5" i="8"/>
  <c r="AG5" i="8"/>
  <c r="AD5" i="8"/>
  <c r="C4" i="8"/>
  <c r="AE2" i="8"/>
  <c r="AE20" i="8" s="1"/>
  <c r="F254" i="6" a="1"/>
  <c r="F254" i="6" s="1"/>
  <c r="F253" i="6" a="1"/>
  <c r="F253" i="6" s="1"/>
  <c r="F252" i="6" a="1"/>
  <c r="F252" i="6" s="1"/>
  <c r="F251" i="6" a="1"/>
  <c r="F251" i="6" s="1"/>
  <c r="D251" i="6" a="1"/>
  <c r="D251" i="6" s="1"/>
  <c r="F191" i="6"/>
  <c r="F190" i="6"/>
  <c r="F189" i="6"/>
  <c r="F188" i="6"/>
  <c r="F187" i="6"/>
  <c r="F7" i="6"/>
  <c r="G7" i="6" s="1"/>
  <c r="Q6" i="6"/>
  <c r="P6" i="6"/>
  <c r="O6" i="6"/>
  <c r="N6" i="6"/>
  <c r="M6" i="6"/>
  <c r="L6" i="6"/>
  <c r="K6" i="6"/>
  <c r="J6" i="6"/>
  <c r="I6" i="6"/>
  <c r="F5" i="9" s="1"/>
  <c r="F20" i="9" s="1"/>
  <c r="H6" i="6"/>
  <c r="E5" i="9" s="1"/>
  <c r="G6" i="6"/>
  <c r="F6" i="6"/>
  <c r="E6" i="6"/>
  <c r="F2" i="6"/>
  <c r="G2" i="6" s="1"/>
  <c r="H2" i="6" s="1"/>
  <c r="I2" i="6" s="1"/>
  <c r="J2" i="6" s="1"/>
  <c r="K2" i="6" s="1"/>
  <c r="L2" i="6" s="1"/>
  <c r="M2" i="6" s="1"/>
  <c r="N2" i="6" s="1"/>
  <c r="O2" i="6" s="1"/>
  <c r="P2" i="6" s="1"/>
  <c r="Q2" i="6" s="1"/>
  <c r="W92" i="4"/>
  <c r="V92" i="4"/>
  <c r="U92" i="4"/>
  <c r="W90" i="4"/>
  <c r="V90" i="4"/>
  <c r="U90" i="4"/>
  <c r="T90" i="4"/>
  <c r="S90" i="4"/>
  <c r="R90" i="4"/>
  <c r="W85" i="4"/>
  <c r="V85" i="4"/>
  <c r="U85" i="4"/>
  <c r="T85" i="4"/>
  <c r="S85" i="4"/>
  <c r="R85" i="4"/>
  <c r="Q85" i="4"/>
  <c r="W84" i="4"/>
  <c r="V84" i="4"/>
  <c r="U84" i="4"/>
  <c r="T84" i="4"/>
  <c r="S84" i="4"/>
  <c r="R84" i="4"/>
  <c r="Q84" i="4"/>
  <c r="W50" i="4"/>
  <c r="V50" i="4"/>
  <c r="U50" i="4"/>
  <c r="T50" i="4"/>
  <c r="S50" i="4"/>
  <c r="R50" i="4"/>
  <c r="Q50" i="4"/>
  <c r="P50" i="4"/>
  <c r="O50" i="4"/>
  <c r="N50" i="4"/>
  <c r="M50" i="4"/>
  <c r="W49" i="4"/>
  <c r="V49" i="4"/>
  <c r="U49" i="4"/>
  <c r="T49" i="4"/>
  <c r="S49" i="4"/>
  <c r="R49" i="4"/>
  <c r="Q49" i="4"/>
  <c r="P49" i="4"/>
  <c r="O49" i="4"/>
  <c r="N49" i="4"/>
  <c r="M49" i="4"/>
  <c r="W42" i="4"/>
  <c r="V42" i="4"/>
  <c r="V45" i="4" s="1"/>
  <c r="V46" i="4" s="1"/>
  <c r="U42" i="4"/>
  <c r="T42" i="4"/>
  <c r="S42" i="4"/>
  <c r="R42" i="4"/>
  <c r="Q42" i="4"/>
  <c r="P42" i="4"/>
  <c r="O42" i="4"/>
  <c r="N42" i="4"/>
  <c r="M42" i="4"/>
  <c r="W38" i="4"/>
  <c r="W39" i="4" s="1"/>
  <c r="V38" i="4"/>
  <c r="V39" i="4" s="1"/>
  <c r="U38" i="4"/>
  <c r="U39" i="4" s="1"/>
  <c r="T38" i="4"/>
  <c r="T39" i="4" s="1"/>
  <c r="S38" i="4"/>
  <c r="S39" i="4" s="1"/>
  <c r="R38" i="4"/>
  <c r="R39" i="4" s="1"/>
  <c r="Q38" i="4"/>
  <c r="Q39" i="4" s="1"/>
  <c r="P38" i="4"/>
  <c r="P39" i="4" s="1"/>
  <c r="O38" i="4"/>
  <c r="O39" i="4" s="1"/>
  <c r="N38" i="4"/>
  <c r="N39" i="4" s="1"/>
  <c r="M38" i="4"/>
  <c r="M39" i="4" s="1"/>
  <c r="W36" i="4"/>
  <c r="V36" i="4"/>
  <c r="U36" i="4"/>
  <c r="T36" i="4"/>
  <c r="S36" i="4"/>
  <c r="R36" i="4"/>
  <c r="Q36" i="4"/>
  <c r="P36" i="4"/>
  <c r="O36" i="4"/>
  <c r="N36" i="4"/>
  <c r="M36" i="4"/>
  <c r="W30" i="4"/>
  <c r="V30" i="4"/>
  <c r="U30" i="4"/>
  <c r="T30" i="4"/>
  <c r="S30" i="4"/>
  <c r="R30" i="4"/>
  <c r="Q30" i="4"/>
  <c r="P7" i="16"/>
  <c r="V23" i="4"/>
  <c r="V26" i="4" s="1"/>
  <c r="V27" i="4" s="1"/>
  <c r="CB12" i="4"/>
  <c r="CA12" i="4"/>
  <c r="BZ12" i="4"/>
  <c r="BY12" i="4"/>
  <c r="BX12" i="4"/>
  <c r="BW12" i="4"/>
  <c r="BV12" i="4"/>
  <c r="BU12" i="4"/>
  <c r="BT12" i="4"/>
  <c r="BS12" i="4"/>
  <c r="BR12"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E11" i="4"/>
  <c r="E7" i="4" a="1"/>
  <c r="E7" i="4" s="1"/>
  <c r="E6" i="4" a="1"/>
  <c r="E6" i="4" s="1"/>
  <c r="E5" i="4" a="1"/>
  <c r="E5" i="4" s="1"/>
  <c r="F3" i="4"/>
  <c r="E386" i="2"/>
  <c r="E385" i="2"/>
  <c r="E384" i="2"/>
  <c r="E383" i="2"/>
  <c r="E379" i="2"/>
  <c r="Q378" i="2"/>
  <c r="P378" i="2"/>
  <c r="O378" i="2"/>
  <c r="N378" i="2"/>
  <c r="M378" i="2"/>
  <c r="L378" i="2"/>
  <c r="K378" i="2"/>
  <c r="J378" i="2"/>
  <c r="I378" i="2"/>
  <c r="H378" i="2"/>
  <c r="G378" i="2"/>
  <c r="F378" i="2"/>
  <c r="E378" i="2"/>
  <c r="E377" i="2"/>
  <c r="C373" i="2"/>
  <c r="C372" i="2"/>
  <c r="C371" i="2"/>
  <c r="C370" i="2"/>
  <c r="C369" i="2"/>
  <c r="C368" i="2"/>
  <c r="C367" i="2"/>
  <c r="C366" i="2"/>
  <c r="C365" i="2"/>
  <c r="C364" i="2"/>
  <c r="F341" i="2"/>
  <c r="E341" i="2"/>
  <c r="C341" i="2"/>
  <c r="F340" i="2"/>
  <c r="E340" i="2"/>
  <c r="C340" i="2"/>
  <c r="F339" i="2"/>
  <c r="E339" i="2"/>
  <c r="C339" i="2"/>
  <c r="E333" i="2"/>
  <c r="E332" i="2"/>
  <c r="E331" i="2"/>
  <c r="E328" i="2"/>
  <c r="E316" i="2"/>
  <c r="E315" i="2"/>
  <c r="E314" i="2"/>
  <c r="G302" i="2"/>
  <c r="G125" i="2" s="1"/>
  <c r="G137" i="2" s="1" a="1"/>
  <c r="G137" i="2" s="1"/>
  <c r="F302" i="2"/>
  <c r="F303" i="2" s="1"/>
  <c r="G297" i="2"/>
  <c r="F297" i="2"/>
  <c r="G287" i="2"/>
  <c r="F287" i="2"/>
  <c r="E287" i="2"/>
  <c r="G286" i="2"/>
  <c r="F286" i="2"/>
  <c r="E286" i="2"/>
  <c r="G285" i="2"/>
  <c r="F285" i="2"/>
  <c r="E285" i="2"/>
  <c r="F275" i="2"/>
  <c r="F271" i="2"/>
  <c r="F269" i="2"/>
  <c r="F267" i="2"/>
  <c r="F385" i="2" s="1"/>
  <c r="F266" i="2"/>
  <c r="F261" i="2"/>
  <c r="F259" i="2"/>
  <c r="F258" i="2"/>
  <c r="F256" i="2"/>
  <c r="F248" i="2"/>
  <c r="F247" i="2"/>
  <c r="F245" i="2"/>
  <c r="F383" i="2" s="1"/>
  <c r="F244" i="2"/>
  <c r="F242" i="2"/>
  <c r="F227" i="2"/>
  <c r="E227" i="2"/>
  <c r="F224" i="2"/>
  <c r="E224" i="2"/>
  <c r="F223" i="2"/>
  <c r="E223" i="2"/>
  <c r="F222" i="2"/>
  <c r="E222" i="2"/>
  <c r="F215" i="2"/>
  <c r="E215" i="2"/>
  <c r="F213" i="2"/>
  <c r="E213" i="2"/>
  <c r="F209" i="2"/>
  <c r="E209" i="2"/>
  <c r="F204" i="2"/>
  <c r="E204" i="2"/>
  <c r="F203" i="2"/>
  <c r="F217" i="2" s="1"/>
  <c r="E203" i="2"/>
  <c r="F202" i="2"/>
  <c r="E202" i="2"/>
  <c r="F193" i="2"/>
  <c r="E193" i="2"/>
  <c r="F192" i="2"/>
  <c r="E192" i="2"/>
  <c r="F191" i="2"/>
  <c r="E191" i="2"/>
  <c r="F190" i="2"/>
  <c r="E190" i="2"/>
  <c r="F186" i="2"/>
  <c r="E186" i="2"/>
  <c r="F184" i="2"/>
  <c r="E184" i="2"/>
  <c r="F183" i="2"/>
  <c r="E183" i="2"/>
  <c r="F182" i="2"/>
  <c r="F281" i="2" s="1"/>
  <c r="G280" i="2" s="1"/>
  <c r="E182" i="2"/>
  <c r="G174" i="2"/>
  <c r="F174" i="2"/>
  <c r="G170" i="2"/>
  <c r="G379" i="2" s="1"/>
  <c r="F170" i="2"/>
  <c r="F379" i="2" s="1"/>
  <c r="G163" i="2"/>
  <c r="F163" i="2"/>
  <c r="G154" i="2"/>
  <c r="F154" i="2"/>
  <c r="F149" i="2"/>
  <c r="G147" i="2"/>
  <c r="F147" i="2"/>
  <c r="G143" i="2"/>
  <c r="F143" i="2"/>
  <c r="G141" i="2"/>
  <c r="F141" i="2"/>
  <c r="G140" i="2"/>
  <c r="F140" i="2"/>
  <c r="E125" i="2"/>
  <c r="E124" i="2"/>
  <c r="E123" i="2"/>
  <c r="E122" i="2"/>
  <c r="F115" i="2"/>
  <c r="E114" i="2"/>
  <c r="E338" i="2" s="1"/>
  <c r="T3" i="2"/>
  <c r="U3" i="2" s="1"/>
  <c r="V3" i="2" s="1"/>
  <c r="W3" i="2" s="1"/>
  <c r="X3" i="2" s="1"/>
  <c r="Y3" i="2" s="1"/>
  <c r="Z3" i="2" s="1"/>
  <c r="AA3" i="2" s="1"/>
  <c r="AB3" i="2" s="1"/>
  <c r="AC3" i="2" s="1"/>
  <c r="AD3" i="2" s="1"/>
  <c r="AE3" i="2" s="1"/>
  <c r="B1" i="2"/>
  <c r="D621" i="5"/>
  <c r="J625" i="5" s="1"/>
  <c r="G552" i="5"/>
  <c r="F552" i="5"/>
  <c r="E552" i="5"/>
  <c r="I551" i="5"/>
  <c r="E551" i="5"/>
  <c r="I550" i="5"/>
  <c r="G550" i="5"/>
  <c r="E550" i="5"/>
  <c r="I549" i="5"/>
  <c r="G549" i="5"/>
  <c r="F549" i="5"/>
  <c r="E549" i="5"/>
  <c r="I548" i="5"/>
  <c r="G548" i="5"/>
  <c r="E548" i="5"/>
  <c r="E545" i="5"/>
  <c r="E542" i="5"/>
  <c r="D530" i="5"/>
  <c r="D526" i="5"/>
  <c r="D520" i="5"/>
  <c r="D513" i="5"/>
  <c r="I505" i="5"/>
  <c r="H505" i="5"/>
  <c r="G505" i="5"/>
  <c r="G501" i="5"/>
  <c r="I499" i="5"/>
  <c r="H499" i="5"/>
  <c r="G499" i="5"/>
  <c r="AL498" i="5"/>
  <c r="AK498" i="5"/>
  <c r="AJ498" i="5"/>
  <c r="AI498" i="5"/>
  <c r="AH498" i="5"/>
  <c r="AG498" i="5"/>
  <c r="AF498" i="5"/>
  <c r="AE498" i="5"/>
  <c r="AD498" i="5"/>
  <c r="AC498" i="5"/>
  <c r="AB498" i="5"/>
  <c r="AA498" i="5"/>
  <c r="Z498" i="5"/>
  <c r="Y498" i="5"/>
  <c r="X498" i="5"/>
  <c r="W498" i="5"/>
  <c r="V498" i="5"/>
  <c r="U498" i="5"/>
  <c r="T498" i="5"/>
  <c r="S498" i="5"/>
  <c r="R498" i="5"/>
  <c r="Q498" i="5"/>
  <c r="P498" i="5"/>
  <c r="O498" i="5"/>
  <c r="N498" i="5"/>
  <c r="M498" i="5"/>
  <c r="L498" i="5"/>
  <c r="K498" i="5"/>
  <c r="I498" i="5"/>
  <c r="G498" i="5"/>
  <c r="I497" i="5"/>
  <c r="G497" i="5"/>
  <c r="I496" i="5"/>
  <c r="H496" i="5"/>
  <c r="H501" i="5" s="1"/>
  <c r="I493" i="5"/>
  <c r="G493" i="5"/>
  <c r="H490" i="5"/>
  <c r="H498" i="5" s="1"/>
  <c r="H489" i="5"/>
  <c r="H488" i="5"/>
  <c r="H487" i="5"/>
  <c r="I483" i="5"/>
  <c r="H483" i="5"/>
  <c r="G483" i="5"/>
  <c r="H479" i="5"/>
  <c r="I478" i="5"/>
  <c r="G478" i="5"/>
  <c r="H477" i="5"/>
  <c r="I471" i="5"/>
  <c r="I472" i="5" s="1"/>
  <c r="H471" i="5"/>
  <c r="G471" i="5"/>
  <c r="G472" i="5" s="1"/>
  <c r="I460" i="5"/>
  <c r="I457" i="5"/>
  <c r="I455" i="5"/>
  <c r="H455" i="5"/>
  <c r="K454" i="5"/>
  <c r="L454" i="5" s="1"/>
  <c r="M454" i="5" s="1"/>
  <c r="N454" i="5" s="1"/>
  <c r="O454" i="5" s="1"/>
  <c r="P454" i="5" s="1"/>
  <c r="Q454" i="5" s="1"/>
  <c r="R454" i="5" s="1"/>
  <c r="S454" i="5" s="1"/>
  <c r="T454" i="5" s="1"/>
  <c r="U454" i="5" s="1"/>
  <c r="V454" i="5" s="1"/>
  <c r="W454" i="5" s="1"/>
  <c r="X454" i="5" s="1"/>
  <c r="Y454" i="5" s="1"/>
  <c r="Z454" i="5" s="1"/>
  <c r="AA454" i="5" s="1"/>
  <c r="AB454" i="5" s="1"/>
  <c r="AC454" i="5" s="1"/>
  <c r="AD454" i="5" s="1"/>
  <c r="AE454" i="5" s="1"/>
  <c r="AF454" i="5" s="1"/>
  <c r="AG454" i="5" s="1"/>
  <c r="AH454" i="5" s="1"/>
  <c r="AI454" i="5" s="1"/>
  <c r="AJ454" i="5" s="1"/>
  <c r="AK454" i="5" s="1"/>
  <c r="AL454" i="5" s="1"/>
  <c r="I454" i="5"/>
  <c r="H454" i="5"/>
  <c r="I450" i="5"/>
  <c r="H450" i="5"/>
  <c r="G450" i="5"/>
  <c r="I438" i="5"/>
  <c r="H438" i="5"/>
  <c r="G438" i="5"/>
  <c r="I435" i="5"/>
  <c r="H435" i="5"/>
  <c r="G435" i="5"/>
  <c r="I431" i="5"/>
  <c r="H431" i="5"/>
  <c r="G431" i="5"/>
  <c r="I430" i="5"/>
  <c r="H430" i="5"/>
  <c r="G430" i="5"/>
  <c r="I429" i="5"/>
  <c r="H429" i="5"/>
  <c r="G429" i="5"/>
  <c r="L419" i="5"/>
  <c r="M419" i="5" s="1"/>
  <c r="N419" i="5" s="1"/>
  <c r="O419" i="5" s="1"/>
  <c r="P419" i="5" s="1"/>
  <c r="Q419" i="5" s="1"/>
  <c r="R419" i="5" s="1"/>
  <c r="S419" i="5" s="1"/>
  <c r="T419" i="5" s="1"/>
  <c r="U419" i="5" s="1"/>
  <c r="V419" i="5" s="1"/>
  <c r="W419" i="5" s="1"/>
  <c r="X419" i="5" s="1"/>
  <c r="Y419" i="5" s="1"/>
  <c r="Z419" i="5" s="1"/>
  <c r="AA419" i="5" s="1"/>
  <c r="AB419" i="5" s="1"/>
  <c r="AC419" i="5" s="1"/>
  <c r="AD419" i="5" s="1"/>
  <c r="AE419" i="5" s="1"/>
  <c r="AF419" i="5" s="1"/>
  <c r="AG419" i="5" s="1"/>
  <c r="AH419" i="5" s="1"/>
  <c r="AI419" i="5" s="1"/>
  <c r="AJ419" i="5" s="1"/>
  <c r="AK419" i="5" s="1"/>
  <c r="AL419" i="5" s="1"/>
  <c r="I417" i="5"/>
  <c r="J419" i="5" s="1"/>
  <c r="H417" i="5"/>
  <c r="I419" i="5" s="1"/>
  <c r="G417" i="5"/>
  <c r="I408" i="5"/>
  <c r="H408" i="5"/>
  <c r="G408" i="5"/>
  <c r="I407" i="5"/>
  <c r="H407" i="5"/>
  <c r="G407" i="5"/>
  <c r="I403" i="5"/>
  <c r="J401" i="5" s="1"/>
  <c r="J402" i="5" s="1"/>
  <c r="H403" i="5"/>
  <c r="G403" i="5"/>
  <c r="H401" i="5" s="1"/>
  <c r="G401" i="5"/>
  <c r="I399" i="5"/>
  <c r="J397" i="5" s="1"/>
  <c r="J398" i="5" s="1"/>
  <c r="H399" i="5"/>
  <c r="G399" i="5"/>
  <c r="G391" i="5"/>
  <c r="I372" i="5"/>
  <c r="H372" i="5"/>
  <c r="G372" i="5"/>
  <c r="I371" i="5"/>
  <c r="G371" i="5"/>
  <c r="I367" i="5"/>
  <c r="H367" i="5"/>
  <c r="G367" i="5"/>
  <c r="I366" i="5"/>
  <c r="G366" i="5"/>
  <c r="I362" i="5"/>
  <c r="H362" i="5"/>
  <c r="G362" i="5"/>
  <c r="I361" i="5"/>
  <c r="G361" i="5"/>
  <c r="I353" i="5"/>
  <c r="I350" i="5" s="1"/>
  <c r="G353" i="5"/>
  <c r="I352" i="5"/>
  <c r="G352" i="5"/>
  <c r="K350" i="5"/>
  <c r="L350" i="5" s="1"/>
  <c r="I345" i="5"/>
  <c r="G345" i="5"/>
  <c r="H341" i="5"/>
  <c r="H340" i="5"/>
  <c r="H352" i="5" s="1"/>
  <c r="I339" i="5"/>
  <c r="I342" i="5" s="1"/>
  <c r="G339" i="5"/>
  <c r="G342" i="5" s="1"/>
  <c r="I333" i="5"/>
  <c r="H333" i="5"/>
  <c r="G333" i="5"/>
  <c r="F333" i="5"/>
  <c r="K331" i="5"/>
  <c r="L331" i="5" s="1"/>
  <c r="M331" i="5" s="1"/>
  <c r="N331" i="5" s="1"/>
  <c r="O331" i="5" s="1"/>
  <c r="P331" i="5" s="1"/>
  <c r="Q331" i="5" s="1"/>
  <c r="R331" i="5" s="1"/>
  <c r="S331" i="5" s="1"/>
  <c r="T331" i="5" s="1"/>
  <c r="U331" i="5" s="1"/>
  <c r="V331" i="5" s="1"/>
  <c r="W331" i="5" s="1"/>
  <c r="X331" i="5" s="1"/>
  <c r="Y331" i="5" s="1"/>
  <c r="Z331" i="5" s="1"/>
  <c r="AA331" i="5" s="1"/>
  <c r="AB331" i="5" s="1"/>
  <c r="AC331" i="5" s="1"/>
  <c r="AD331" i="5" s="1"/>
  <c r="AE331" i="5" s="1"/>
  <c r="AF331" i="5" s="1"/>
  <c r="AG331" i="5" s="1"/>
  <c r="AH331" i="5" s="1"/>
  <c r="AI331" i="5" s="1"/>
  <c r="AJ331" i="5" s="1"/>
  <c r="AK331" i="5" s="1"/>
  <c r="AL331" i="5" s="1"/>
  <c r="I325" i="5"/>
  <c r="H325" i="5"/>
  <c r="G325" i="5"/>
  <c r="F325" i="5"/>
  <c r="K323" i="5"/>
  <c r="L323" i="5" s="1"/>
  <c r="M323" i="5" s="1"/>
  <c r="N323" i="5" s="1"/>
  <c r="O323" i="5" s="1"/>
  <c r="P323" i="5" s="1"/>
  <c r="Q323" i="5" s="1"/>
  <c r="R323" i="5" s="1"/>
  <c r="S323" i="5" s="1"/>
  <c r="T323" i="5" s="1"/>
  <c r="U323" i="5" s="1"/>
  <c r="V323" i="5" s="1"/>
  <c r="W323" i="5" s="1"/>
  <c r="X323" i="5" s="1"/>
  <c r="Y323" i="5" s="1"/>
  <c r="Z323" i="5" s="1"/>
  <c r="AA323" i="5" s="1"/>
  <c r="AB323" i="5" s="1"/>
  <c r="AC323" i="5" s="1"/>
  <c r="AD323" i="5" s="1"/>
  <c r="AE323" i="5" s="1"/>
  <c r="AF323" i="5" s="1"/>
  <c r="AG323" i="5" s="1"/>
  <c r="AH323" i="5" s="1"/>
  <c r="AI323" i="5" s="1"/>
  <c r="AJ323" i="5" s="1"/>
  <c r="AK323" i="5" s="1"/>
  <c r="AL323" i="5" s="1"/>
  <c r="K322" i="5"/>
  <c r="L322" i="5" s="1"/>
  <c r="M322" i="5" s="1"/>
  <c r="N322" i="5" s="1"/>
  <c r="O322" i="5" s="1"/>
  <c r="P322" i="5" s="1"/>
  <c r="Q322" i="5" s="1"/>
  <c r="R322" i="5" s="1"/>
  <c r="S322" i="5" s="1"/>
  <c r="T322" i="5" s="1"/>
  <c r="U322" i="5" s="1"/>
  <c r="V322" i="5" s="1"/>
  <c r="W322" i="5" s="1"/>
  <c r="X322" i="5" s="1"/>
  <c r="Y322" i="5" s="1"/>
  <c r="Z322" i="5" s="1"/>
  <c r="AA322" i="5" s="1"/>
  <c r="AB322" i="5" s="1"/>
  <c r="AC322" i="5" s="1"/>
  <c r="AD322" i="5" s="1"/>
  <c r="AE322" i="5" s="1"/>
  <c r="AF322" i="5" s="1"/>
  <c r="AG322" i="5" s="1"/>
  <c r="AH322" i="5" s="1"/>
  <c r="AI322" i="5" s="1"/>
  <c r="AJ322" i="5" s="1"/>
  <c r="AK322" i="5" s="1"/>
  <c r="AL322" i="5" s="1"/>
  <c r="K321" i="5"/>
  <c r="L321" i="5" s="1"/>
  <c r="M321" i="5" s="1"/>
  <c r="N321" i="5" s="1"/>
  <c r="O321" i="5" s="1"/>
  <c r="P321" i="5" s="1"/>
  <c r="Q321" i="5" s="1"/>
  <c r="R321" i="5" s="1"/>
  <c r="S321" i="5" s="1"/>
  <c r="T321" i="5" s="1"/>
  <c r="U321" i="5" s="1"/>
  <c r="V321" i="5" s="1"/>
  <c r="W321" i="5" s="1"/>
  <c r="X321" i="5" s="1"/>
  <c r="Y321" i="5" s="1"/>
  <c r="Z321" i="5" s="1"/>
  <c r="AA321" i="5" s="1"/>
  <c r="AB321" i="5" s="1"/>
  <c r="AC321" i="5" s="1"/>
  <c r="AD321" i="5" s="1"/>
  <c r="AE321" i="5" s="1"/>
  <c r="AF321" i="5" s="1"/>
  <c r="AG321" i="5" s="1"/>
  <c r="AH321" i="5" s="1"/>
  <c r="AI321" i="5" s="1"/>
  <c r="AJ321" i="5" s="1"/>
  <c r="AK321" i="5" s="1"/>
  <c r="AL321" i="5" s="1"/>
  <c r="K318" i="5"/>
  <c r="I316" i="5"/>
  <c r="H316" i="5"/>
  <c r="G316" i="5"/>
  <c r="F316" i="5"/>
  <c r="K314" i="5"/>
  <c r="L314" i="5" s="1"/>
  <c r="M314" i="5" s="1"/>
  <c r="N314" i="5" s="1"/>
  <c r="O314" i="5" s="1"/>
  <c r="P314" i="5" s="1"/>
  <c r="Q314" i="5" s="1"/>
  <c r="R314" i="5" s="1"/>
  <c r="S314" i="5" s="1"/>
  <c r="T314" i="5" s="1"/>
  <c r="U314" i="5" s="1"/>
  <c r="V314" i="5" s="1"/>
  <c r="W314" i="5" s="1"/>
  <c r="X314" i="5" s="1"/>
  <c r="Y314" i="5" s="1"/>
  <c r="Z314" i="5" s="1"/>
  <c r="AA314" i="5" s="1"/>
  <c r="AB314" i="5" s="1"/>
  <c r="AC314" i="5" s="1"/>
  <c r="AD314" i="5" s="1"/>
  <c r="AE314" i="5" s="1"/>
  <c r="AF314" i="5" s="1"/>
  <c r="AG314" i="5" s="1"/>
  <c r="AH314" i="5" s="1"/>
  <c r="AI314" i="5" s="1"/>
  <c r="AJ314" i="5" s="1"/>
  <c r="AK314" i="5" s="1"/>
  <c r="AL314" i="5" s="1"/>
  <c r="J438" i="5"/>
  <c r="K312" i="5"/>
  <c r="L312" i="5" s="1"/>
  <c r="M312" i="5" s="1"/>
  <c r="N312" i="5" s="1"/>
  <c r="O312" i="5" s="1"/>
  <c r="P312" i="5" s="1"/>
  <c r="Q312" i="5" s="1"/>
  <c r="R312" i="5" s="1"/>
  <c r="S312" i="5" s="1"/>
  <c r="T312" i="5" s="1"/>
  <c r="U312" i="5" s="1"/>
  <c r="V312" i="5" s="1"/>
  <c r="W312" i="5" s="1"/>
  <c r="X312" i="5" s="1"/>
  <c r="Y312" i="5" s="1"/>
  <c r="Z312" i="5" s="1"/>
  <c r="AA312" i="5" s="1"/>
  <c r="AB312" i="5" s="1"/>
  <c r="AC312" i="5" s="1"/>
  <c r="AD312" i="5" s="1"/>
  <c r="AE312" i="5" s="1"/>
  <c r="AF312" i="5" s="1"/>
  <c r="AG312" i="5" s="1"/>
  <c r="AH312" i="5" s="1"/>
  <c r="AI312" i="5" s="1"/>
  <c r="AJ312" i="5" s="1"/>
  <c r="AK312" i="5" s="1"/>
  <c r="AL312" i="5" s="1"/>
  <c r="K311" i="5"/>
  <c r="L311" i="5" s="1"/>
  <c r="M311" i="5" s="1"/>
  <c r="N311" i="5" s="1"/>
  <c r="O311" i="5" s="1"/>
  <c r="P311" i="5" s="1"/>
  <c r="Q311" i="5" s="1"/>
  <c r="R311" i="5" s="1"/>
  <c r="S311" i="5" s="1"/>
  <c r="T311" i="5" s="1"/>
  <c r="U311" i="5" s="1"/>
  <c r="V311" i="5" s="1"/>
  <c r="W311" i="5" s="1"/>
  <c r="X311" i="5" s="1"/>
  <c r="Y311" i="5" s="1"/>
  <c r="Z311" i="5" s="1"/>
  <c r="AA311" i="5" s="1"/>
  <c r="AB311" i="5" s="1"/>
  <c r="AC311" i="5" s="1"/>
  <c r="AD311" i="5" s="1"/>
  <c r="AE311" i="5" s="1"/>
  <c r="AF311" i="5" s="1"/>
  <c r="AG311" i="5" s="1"/>
  <c r="AH311" i="5" s="1"/>
  <c r="AI311" i="5" s="1"/>
  <c r="AJ311" i="5" s="1"/>
  <c r="AK311" i="5" s="1"/>
  <c r="AL311" i="5" s="1"/>
  <c r="K302" i="5"/>
  <c r="L302" i="5" s="1"/>
  <c r="M302" i="5" s="1"/>
  <c r="N302" i="5" s="1"/>
  <c r="O302" i="5" s="1"/>
  <c r="P302" i="5" s="1"/>
  <c r="Q302" i="5" s="1"/>
  <c r="R302" i="5" s="1"/>
  <c r="S302" i="5" s="1"/>
  <c r="T302" i="5" s="1"/>
  <c r="U302" i="5" s="1"/>
  <c r="V302" i="5" s="1"/>
  <c r="W302" i="5" s="1"/>
  <c r="X302" i="5" s="1"/>
  <c r="Y302" i="5" s="1"/>
  <c r="Z302" i="5" s="1"/>
  <c r="AA302" i="5" s="1"/>
  <c r="AB302" i="5" s="1"/>
  <c r="AC302" i="5" s="1"/>
  <c r="AD302" i="5" s="1"/>
  <c r="AE302" i="5" s="1"/>
  <c r="AF302" i="5" s="1"/>
  <c r="AG302" i="5" s="1"/>
  <c r="AH302" i="5" s="1"/>
  <c r="AI302" i="5" s="1"/>
  <c r="AJ302" i="5" s="1"/>
  <c r="AK302" i="5" s="1"/>
  <c r="AL302" i="5" s="1"/>
  <c r="K301" i="5"/>
  <c r="L301" i="5" s="1"/>
  <c r="M301" i="5" s="1"/>
  <c r="N301" i="5" s="1"/>
  <c r="O301" i="5" s="1"/>
  <c r="P301" i="5" s="1"/>
  <c r="Q301" i="5" s="1"/>
  <c r="R301" i="5" s="1"/>
  <c r="S301" i="5" s="1"/>
  <c r="T301" i="5" s="1"/>
  <c r="U301" i="5" s="1"/>
  <c r="V301" i="5" s="1"/>
  <c r="W301" i="5" s="1"/>
  <c r="X301" i="5" s="1"/>
  <c r="Y301" i="5" s="1"/>
  <c r="Z301" i="5" s="1"/>
  <c r="AA301" i="5" s="1"/>
  <c r="AB301" i="5" s="1"/>
  <c r="AC301" i="5" s="1"/>
  <c r="AD301" i="5" s="1"/>
  <c r="AE301" i="5" s="1"/>
  <c r="AF301" i="5" s="1"/>
  <c r="AG301" i="5" s="1"/>
  <c r="AH301" i="5" s="1"/>
  <c r="AI301" i="5" s="1"/>
  <c r="AJ301" i="5" s="1"/>
  <c r="AK301" i="5" s="1"/>
  <c r="AL301" i="5" s="1"/>
  <c r="I300" i="5"/>
  <c r="I356" i="5" s="1"/>
  <c r="J354" i="5" s="1"/>
  <c r="H300" i="5"/>
  <c r="H356" i="5" s="1"/>
  <c r="G300" i="5"/>
  <c r="G356" i="5" s="1"/>
  <c r="F300" i="5"/>
  <c r="F304" i="5" s="1"/>
  <c r="K299" i="5"/>
  <c r="L299" i="5" s="1"/>
  <c r="M299" i="5" s="1"/>
  <c r="N299" i="5" s="1"/>
  <c r="O299" i="5" s="1"/>
  <c r="P299" i="5" s="1"/>
  <c r="Q299" i="5" s="1"/>
  <c r="R299" i="5" s="1"/>
  <c r="S299" i="5" s="1"/>
  <c r="T299" i="5" s="1"/>
  <c r="U299" i="5" s="1"/>
  <c r="V299" i="5" s="1"/>
  <c r="W299" i="5" s="1"/>
  <c r="X299" i="5" s="1"/>
  <c r="Y299" i="5" s="1"/>
  <c r="Z299" i="5" s="1"/>
  <c r="AA299" i="5" s="1"/>
  <c r="AB299" i="5" s="1"/>
  <c r="AC299" i="5" s="1"/>
  <c r="AD299" i="5" s="1"/>
  <c r="AE299" i="5" s="1"/>
  <c r="AF299" i="5" s="1"/>
  <c r="AG299" i="5" s="1"/>
  <c r="AH299" i="5" s="1"/>
  <c r="AI299" i="5" s="1"/>
  <c r="AJ299" i="5" s="1"/>
  <c r="AK299" i="5" s="1"/>
  <c r="AL299" i="5" s="1"/>
  <c r="K298" i="5"/>
  <c r="L298" i="5" s="1"/>
  <c r="M298" i="5" s="1"/>
  <c r="N298" i="5" s="1"/>
  <c r="O298" i="5" s="1"/>
  <c r="P298" i="5" s="1"/>
  <c r="Q298" i="5" s="1"/>
  <c r="R298" i="5" s="1"/>
  <c r="S298" i="5" s="1"/>
  <c r="T298" i="5" s="1"/>
  <c r="U298" i="5" s="1"/>
  <c r="V298" i="5" s="1"/>
  <c r="W298" i="5" s="1"/>
  <c r="X298" i="5" s="1"/>
  <c r="Y298" i="5" s="1"/>
  <c r="Z298" i="5" s="1"/>
  <c r="AA298" i="5" s="1"/>
  <c r="AB298" i="5" s="1"/>
  <c r="AC298" i="5" s="1"/>
  <c r="AD298" i="5" s="1"/>
  <c r="AE298" i="5" s="1"/>
  <c r="AF298" i="5" s="1"/>
  <c r="AG298" i="5" s="1"/>
  <c r="AH298" i="5" s="1"/>
  <c r="AI298" i="5" s="1"/>
  <c r="AJ298" i="5" s="1"/>
  <c r="AK298" i="5" s="1"/>
  <c r="AL298" i="5" s="1"/>
  <c r="K297" i="5"/>
  <c r="L297" i="5" s="1"/>
  <c r="M297" i="5" s="1"/>
  <c r="N297" i="5" s="1"/>
  <c r="O297" i="5" s="1"/>
  <c r="P297" i="5" s="1"/>
  <c r="Q297" i="5" s="1"/>
  <c r="R297" i="5" s="1"/>
  <c r="S297" i="5" s="1"/>
  <c r="T297" i="5" s="1"/>
  <c r="U297" i="5" s="1"/>
  <c r="V297" i="5" s="1"/>
  <c r="W297" i="5" s="1"/>
  <c r="X297" i="5" s="1"/>
  <c r="Y297" i="5" s="1"/>
  <c r="Z297" i="5" s="1"/>
  <c r="AA297" i="5" s="1"/>
  <c r="AB297" i="5" s="1"/>
  <c r="AC297" i="5" s="1"/>
  <c r="AD297" i="5" s="1"/>
  <c r="AE297" i="5" s="1"/>
  <c r="AF297" i="5" s="1"/>
  <c r="AG297" i="5" s="1"/>
  <c r="AH297" i="5" s="1"/>
  <c r="AI297" i="5" s="1"/>
  <c r="AJ297" i="5" s="1"/>
  <c r="AK297" i="5" s="1"/>
  <c r="AL297" i="5" s="1"/>
  <c r="I294" i="5"/>
  <c r="H294" i="5"/>
  <c r="G294" i="5"/>
  <c r="F294" i="5"/>
  <c r="K292" i="5"/>
  <c r="L292" i="5" s="1"/>
  <c r="M292" i="5" s="1"/>
  <c r="N292" i="5" s="1"/>
  <c r="O292" i="5" s="1"/>
  <c r="P292" i="5" s="1"/>
  <c r="Q292" i="5" s="1"/>
  <c r="R292" i="5" s="1"/>
  <c r="S292" i="5" s="1"/>
  <c r="T292" i="5" s="1"/>
  <c r="U292" i="5" s="1"/>
  <c r="V292" i="5" s="1"/>
  <c r="W292" i="5" s="1"/>
  <c r="X292" i="5" s="1"/>
  <c r="Y292" i="5" s="1"/>
  <c r="Z292" i="5" s="1"/>
  <c r="AA292" i="5" s="1"/>
  <c r="AB292" i="5" s="1"/>
  <c r="AC292" i="5" s="1"/>
  <c r="AD292" i="5" s="1"/>
  <c r="AE292" i="5" s="1"/>
  <c r="AF292" i="5" s="1"/>
  <c r="AG292" i="5" s="1"/>
  <c r="AH292" i="5" s="1"/>
  <c r="AI292" i="5" s="1"/>
  <c r="AJ292" i="5" s="1"/>
  <c r="AK292" i="5" s="1"/>
  <c r="AL292" i="5" s="1"/>
  <c r="AL281" i="5"/>
  <c r="AK281" i="5"/>
  <c r="AJ281" i="5"/>
  <c r="AI281" i="5"/>
  <c r="AH281" i="5"/>
  <c r="AG281" i="5"/>
  <c r="AF281" i="5"/>
  <c r="AE281" i="5"/>
  <c r="AD281" i="5"/>
  <c r="AC281" i="5"/>
  <c r="AB281" i="5"/>
  <c r="AA281" i="5"/>
  <c r="Z281" i="5"/>
  <c r="Y281" i="5"/>
  <c r="X281" i="5"/>
  <c r="W281" i="5"/>
  <c r="V281" i="5"/>
  <c r="U281" i="5"/>
  <c r="T281" i="5"/>
  <c r="S281" i="5"/>
  <c r="R281" i="5"/>
  <c r="Q281" i="5"/>
  <c r="P281" i="5"/>
  <c r="O281" i="5"/>
  <c r="N281" i="5"/>
  <c r="M281" i="5"/>
  <c r="L281" i="5"/>
  <c r="K281" i="5"/>
  <c r="H281" i="5"/>
  <c r="F281" i="5"/>
  <c r="I279" i="5"/>
  <c r="I385" i="5" s="1"/>
  <c r="H279" i="5"/>
  <c r="H385" i="5" s="1"/>
  <c r="G279" i="5"/>
  <c r="G385" i="5" s="1"/>
  <c r="F279" i="5"/>
  <c r="I276" i="5"/>
  <c r="G276" i="5"/>
  <c r="E276" i="5"/>
  <c r="H274" i="5"/>
  <c r="F274" i="5"/>
  <c r="H273" i="5"/>
  <c r="F273" i="5"/>
  <c r="AL271" i="5"/>
  <c r="AK271" i="5"/>
  <c r="AJ271" i="5"/>
  <c r="AI271" i="5"/>
  <c r="AH271" i="5"/>
  <c r="AG271" i="5"/>
  <c r="AF271" i="5"/>
  <c r="AE271" i="5"/>
  <c r="AD271" i="5"/>
  <c r="AC271" i="5"/>
  <c r="AB271" i="5"/>
  <c r="AA271" i="5"/>
  <c r="Z271" i="5"/>
  <c r="Y271" i="5"/>
  <c r="X271" i="5"/>
  <c r="W271" i="5"/>
  <c r="V271" i="5"/>
  <c r="U271" i="5"/>
  <c r="T271" i="5"/>
  <c r="S271" i="5"/>
  <c r="R271" i="5"/>
  <c r="Q271" i="5"/>
  <c r="P271" i="5"/>
  <c r="O271" i="5"/>
  <c r="N271" i="5"/>
  <c r="M271" i="5"/>
  <c r="L271" i="5"/>
  <c r="K271" i="5"/>
  <c r="H271" i="5"/>
  <c r="F271" i="5"/>
  <c r="AL270" i="5"/>
  <c r="AK270" i="5"/>
  <c r="AJ270" i="5"/>
  <c r="AI270" i="5"/>
  <c r="AH270" i="5"/>
  <c r="AG270" i="5"/>
  <c r="AF270" i="5"/>
  <c r="AE270" i="5"/>
  <c r="AD270" i="5"/>
  <c r="AC270" i="5"/>
  <c r="AB270" i="5"/>
  <c r="AA270" i="5"/>
  <c r="Z270" i="5"/>
  <c r="Y270" i="5"/>
  <c r="X270" i="5"/>
  <c r="W270" i="5"/>
  <c r="V270" i="5"/>
  <c r="U270" i="5"/>
  <c r="T270" i="5"/>
  <c r="S270" i="5"/>
  <c r="R270" i="5"/>
  <c r="Q270" i="5"/>
  <c r="P270" i="5"/>
  <c r="O270" i="5"/>
  <c r="N270" i="5"/>
  <c r="M270" i="5"/>
  <c r="L270" i="5"/>
  <c r="K270" i="5"/>
  <c r="H269" i="5"/>
  <c r="I265" i="5"/>
  <c r="I387" i="5" s="1"/>
  <c r="E265" i="5"/>
  <c r="G263" i="5"/>
  <c r="G551" i="5" s="1"/>
  <c r="H259" i="5"/>
  <c r="H353" i="5" s="1"/>
  <c r="F259" i="5"/>
  <c r="F551" i="5" s="1"/>
  <c r="AL258" i="5"/>
  <c r="AK258" i="5"/>
  <c r="AJ258" i="5"/>
  <c r="AI258" i="5"/>
  <c r="AH258" i="5"/>
  <c r="AG258" i="5"/>
  <c r="AF258" i="5"/>
  <c r="AE258" i="5"/>
  <c r="AD258" i="5"/>
  <c r="AC258" i="5"/>
  <c r="AB258" i="5"/>
  <c r="AA258" i="5"/>
  <c r="Z258" i="5"/>
  <c r="Y258" i="5"/>
  <c r="X258" i="5"/>
  <c r="W258" i="5"/>
  <c r="V258" i="5"/>
  <c r="U258" i="5"/>
  <c r="T258" i="5"/>
  <c r="S258" i="5"/>
  <c r="R258" i="5"/>
  <c r="Q258" i="5"/>
  <c r="P258" i="5"/>
  <c r="O258" i="5"/>
  <c r="N258" i="5"/>
  <c r="M258" i="5"/>
  <c r="L258" i="5"/>
  <c r="K258" i="5"/>
  <c r="H258" i="5"/>
  <c r="H255" i="5"/>
  <c r="F255" i="5"/>
  <c r="G252" i="5"/>
  <c r="F252" i="5"/>
  <c r="E252" i="5"/>
  <c r="I250" i="5"/>
  <c r="J250" i="5" s="1"/>
  <c r="G250" i="5"/>
  <c r="E250" i="5"/>
  <c r="F250" i="5" s="1"/>
  <c r="I243" i="5"/>
  <c r="G243" i="5"/>
  <c r="I242" i="5"/>
  <c r="G242" i="5"/>
  <c r="I239" i="5"/>
  <c r="K239" i="5" s="1"/>
  <c r="L239" i="5" s="1"/>
  <c r="M239" i="5" s="1"/>
  <c r="N239" i="5" s="1"/>
  <c r="O239" i="5" s="1"/>
  <c r="P239" i="5" s="1"/>
  <c r="Q239" i="5" s="1"/>
  <c r="R239" i="5" s="1"/>
  <c r="S239" i="5" s="1"/>
  <c r="T239" i="5" s="1"/>
  <c r="U239" i="5" s="1"/>
  <c r="V239" i="5" s="1"/>
  <c r="W239" i="5" s="1"/>
  <c r="X239" i="5" s="1"/>
  <c r="Y239" i="5" s="1"/>
  <c r="Z239" i="5" s="1"/>
  <c r="AA239" i="5" s="1"/>
  <c r="AB239" i="5" s="1"/>
  <c r="AC239" i="5" s="1"/>
  <c r="AD239" i="5" s="1"/>
  <c r="AE239" i="5" s="1"/>
  <c r="AF239" i="5" s="1"/>
  <c r="AG239" i="5" s="1"/>
  <c r="AH239" i="5" s="1"/>
  <c r="AI239" i="5" s="1"/>
  <c r="AJ239" i="5" s="1"/>
  <c r="AK239" i="5" s="1"/>
  <c r="AL239" i="5" s="1"/>
  <c r="G239" i="5"/>
  <c r="I238" i="5"/>
  <c r="G238" i="5"/>
  <c r="M235" i="5"/>
  <c r="Q235" i="5" s="1"/>
  <c r="S235" i="5" s="1"/>
  <c r="U235" i="5" s="1"/>
  <c r="W235" i="5" s="1"/>
  <c r="Y235" i="5" s="1"/>
  <c r="AA235" i="5" s="1"/>
  <c r="AC235" i="5" s="1"/>
  <c r="AE235" i="5" s="1"/>
  <c r="AG235" i="5" s="1"/>
  <c r="AI235" i="5" s="1"/>
  <c r="AK235" i="5" s="1"/>
  <c r="L235" i="5"/>
  <c r="N235" i="5" s="1"/>
  <c r="R235" i="5" s="1"/>
  <c r="T235" i="5" s="1"/>
  <c r="V235" i="5" s="1"/>
  <c r="X235" i="5" s="1"/>
  <c r="Z235" i="5" s="1"/>
  <c r="AB235" i="5" s="1"/>
  <c r="AD235" i="5" s="1"/>
  <c r="AF235" i="5" s="1"/>
  <c r="AH235" i="5" s="1"/>
  <c r="AJ235" i="5" s="1"/>
  <c r="AL235" i="5" s="1"/>
  <c r="K234" i="5"/>
  <c r="K172" i="5" s="1"/>
  <c r="K178" i="5" s="1"/>
  <c r="I234" i="5"/>
  <c r="G234" i="5"/>
  <c r="H229" i="5"/>
  <c r="F229" i="5"/>
  <c r="L227" i="5"/>
  <c r="L229" i="5" s="1"/>
  <c r="K227" i="5"/>
  <c r="K229" i="5" s="1"/>
  <c r="I227" i="5"/>
  <c r="G227" i="5"/>
  <c r="E227" i="5"/>
  <c r="I226" i="5"/>
  <c r="I230" i="5" s="1"/>
  <c r="G226" i="5"/>
  <c r="G24" i="8" s="1"/>
  <c r="E226" i="5"/>
  <c r="E24" i="8" s="1"/>
  <c r="H224" i="5"/>
  <c r="F224" i="5"/>
  <c r="H223" i="5"/>
  <c r="F223" i="5"/>
  <c r="H222" i="5"/>
  <c r="F222" i="5"/>
  <c r="H221" i="5"/>
  <c r="F221" i="5"/>
  <c r="P219" i="5"/>
  <c r="R219" i="5" s="1"/>
  <c r="T219" i="5" s="1"/>
  <c r="V219" i="5" s="1"/>
  <c r="X219" i="5" s="1"/>
  <c r="Z219" i="5" s="1"/>
  <c r="AB219" i="5" s="1"/>
  <c r="AD219" i="5" s="1"/>
  <c r="AF219" i="5" s="1"/>
  <c r="AH219" i="5" s="1"/>
  <c r="AJ219" i="5" s="1"/>
  <c r="AL219" i="5" s="1"/>
  <c r="O219" i="5"/>
  <c r="Q219" i="5" s="1"/>
  <c r="S219" i="5" s="1"/>
  <c r="U219" i="5" s="1"/>
  <c r="W219" i="5" s="1"/>
  <c r="Y219" i="5" s="1"/>
  <c r="AA219" i="5" s="1"/>
  <c r="AC219" i="5" s="1"/>
  <c r="AE219" i="5" s="1"/>
  <c r="AG219" i="5" s="1"/>
  <c r="AI219" i="5" s="1"/>
  <c r="AK219" i="5" s="1"/>
  <c r="I219" i="5"/>
  <c r="G219" i="5"/>
  <c r="E219" i="5"/>
  <c r="I218" i="5"/>
  <c r="G218" i="5"/>
  <c r="E218" i="5"/>
  <c r="H217" i="5"/>
  <c r="F217" i="5"/>
  <c r="I211" i="5"/>
  <c r="G211" i="5"/>
  <c r="E211" i="5"/>
  <c r="I210" i="5"/>
  <c r="G210" i="5"/>
  <c r="E210" i="5"/>
  <c r="H203" i="5"/>
  <c r="H22" i="8" s="1"/>
  <c r="F203" i="5"/>
  <c r="I200" i="5"/>
  <c r="H200" i="5"/>
  <c r="G200" i="5"/>
  <c r="F200" i="5"/>
  <c r="E200" i="5"/>
  <c r="F199" i="5"/>
  <c r="E199" i="5"/>
  <c r="L192" i="5"/>
  <c r="M192" i="5" s="1"/>
  <c r="N192" i="5" s="1"/>
  <c r="O192" i="5" s="1"/>
  <c r="P192" i="5" s="1"/>
  <c r="Q192" i="5" s="1"/>
  <c r="R192" i="5" s="1"/>
  <c r="S192" i="5" s="1"/>
  <c r="T192" i="5" s="1"/>
  <c r="U192" i="5" s="1"/>
  <c r="V192" i="5" s="1"/>
  <c r="W192" i="5" s="1"/>
  <c r="X192" i="5" s="1"/>
  <c r="Y192" i="5" s="1"/>
  <c r="Z192" i="5" s="1"/>
  <c r="AA192" i="5" s="1"/>
  <c r="AB192" i="5" s="1"/>
  <c r="AC192" i="5" s="1"/>
  <c r="AD192" i="5" s="1"/>
  <c r="AE192" i="5" s="1"/>
  <c r="AF192" i="5" s="1"/>
  <c r="AG192" i="5" s="1"/>
  <c r="AH192" i="5" s="1"/>
  <c r="AI192" i="5" s="1"/>
  <c r="AJ192" i="5" s="1"/>
  <c r="AK192" i="5" s="1"/>
  <c r="AL192" i="5" s="1"/>
  <c r="J191" i="5"/>
  <c r="J199" i="5" s="1"/>
  <c r="I191" i="5"/>
  <c r="H191" i="5"/>
  <c r="H199" i="5" s="1"/>
  <c r="G191" i="5"/>
  <c r="G199" i="5" s="1"/>
  <c r="I189" i="5"/>
  <c r="I198" i="5" s="1"/>
  <c r="G189" i="5"/>
  <c r="G198" i="5" s="1"/>
  <c r="E189" i="5"/>
  <c r="E198" i="5" s="1"/>
  <c r="I186" i="5"/>
  <c r="I197" i="5" s="1"/>
  <c r="G186" i="5"/>
  <c r="G197" i="5" s="1"/>
  <c r="E186" i="5"/>
  <c r="E197" i="5" s="1"/>
  <c r="I178" i="5"/>
  <c r="I180" i="5" s="1"/>
  <c r="H172" i="5"/>
  <c r="H234" i="5" s="1"/>
  <c r="I169" i="5"/>
  <c r="G169" i="5"/>
  <c r="I168" i="5"/>
  <c r="G168" i="5"/>
  <c r="H165" i="5"/>
  <c r="H164" i="5"/>
  <c r="H549" i="5" s="1"/>
  <c r="I158" i="5"/>
  <c r="G158" i="5"/>
  <c r="H157" i="5"/>
  <c r="H155" i="5"/>
  <c r="F155" i="5"/>
  <c r="I154" i="5"/>
  <c r="G154" i="5"/>
  <c r="E154" i="5"/>
  <c r="H152" i="5"/>
  <c r="H460" i="5" s="1"/>
  <c r="F152" i="5"/>
  <c r="H151" i="5"/>
  <c r="F151" i="5"/>
  <c r="H149" i="5"/>
  <c r="F149" i="5"/>
  <c r="H147" i="5"/>
  <c r="F147" i="5"/>
  <c r="H146" i="5"/>
  <c r="H158" i="5" s="1"/>
  <c r="F146" i="5"/>
  <c r="H144" i="5"/>
  <c r="F144" i="5"/>
  <c r="I138" i="5"/>
  <c r="G138" i="5"/>
  <c r="I137" i="5"/>
  <c r="G137" i="5"/>
  <c r="I136" i="5"/>
  <c r="G136" i="5"/>
  <c r="I135" i="5"/>
  <c r="G135" i="5"/>
  <c r="I134" i="5"/>
  <c r="G134" i="5"/>
  <c r="I133" i="5"/>
  <c r="G133" i="5"/>
  <c r="H126" i="5"/>
  <c r="H128" i="5" s="1"/>
  <c r="H124" i="5"/>
  <c r="H242" i="5" s="1"/>
  <c r="H123" i="5"/>
  <c r="H9" i="8" s="1"/>
  <c r="CS9" i="8" s="1"/>
  <c r="H120" i="5"/>
  <c r="H119" i="5"/>
  <c r="F119" i="5"/>
  <c r="F249" i="5" s="1"/>
  <c r="H116" i="5"/>
  <c r="F116" i="5"/>
  <c r="H115" i="5"/>
  <c r="F115" i="5"/>
  <c r="H113" i="5"/>
  <c r="F113" i="5"/>
  <c r="H112" i="5"/>
  <c r="H167" i="5" s="1"/>
  <c r="F112" i="5"/>
  <c r="F7" i="8" s="1"/>
  <c r="CQ7" i="8" s="1"/>
  <c r="H110" i="5"/>
  <c r="F110" i="5"/>
  <c r="H109" i="5"/>
  <c r="F109" i="5"/>
  <c r="H108" i="5"/>
  <c r="F108" i="5"/>
  <c r="H106" i="5"/>
  <c r="F106" i="5"/>
  <c r="H105" i="5"/>
  <c r="F105" i="5"/>
  <c r="G100" i="5"/>
  <c r="E100" i="5"/>
  <c r="G99" i="5"/>
  <c r="E99" i="5"/>
  <c r="G98" i="5"/>
  <c r="E98" i="5"/>
  <c r="G97" i="5"/>
  <c r="E97" i="5"/>
  <c r="G94" i="5"/>
  <c r="I93" i="5"/>
  <c r="G93" i="5"/>
  <c r="I92" i="5"/>
  <c r="G92" i="5"/>
  <c r="I91" i="5"/>
  <c r="G91" i="5"/>
  <c r="I90" i="5"/>
  <c r="G90" i="5"/>
  <c r="I97" i="5"/>
  <c r="H87" i="5"/>
  <c r="J94" i="5" s="1"/>
  <c r="F87" i="5"/>
  <c r="H86" i="5"/>
  <c r="J93" i="5" s="1"/>
  <c r="F86" i="5"/>
  <c r="H85" i="5"/>
  <c r="J92" i="5" s="1"/>
  <c r="F85" i="5"/>
  <c r="H84" i="5"/>
  <c r="J91" i="5" s="1"/>
  <c r="F84" i="5"/>
  <c r="H83" i="5"/>
  <c r="J90" i="5" s="1"/>
  <c r="F83" i="5"/>
  <c r="I80" i="5"/>
  <c r="G80" i="5"/>
  <c r="I79" i="5"/>
  <c r="G79" i="5"/>
  <c r="I76" i="5"/>
  <c r="G76" i="5"/>
  <c r="E76" i="5"/>
  <c r="H75" i="5"/>
  <c r="H15" i="8" s="1"/>
  <c r="F75" i="5"/>
  <c r="F15" i="8" s="1"/>
  <c r="N72" i="5"/>
  <c r="P72" i="5" s="1"/>
  <c r="R72" i="5" s="1"/>
  <c r="T72" i="5" s="1"/>
  <c r="V72" i="5" s="1"/>
  <c r="X72" i="5" s="1"/>
  <c r="Z72" i="5" s="1"/>
  <c r="AB72" i="5" s="1"/>
  <c r="AD72" i="5" s="1"/>
  <c r="AF72" i="5" s="1"/>
  <c r="AH72" i="5" s="1"/>
  <c r="AJ72" i="5" s="1"/>
  <c r="AL72" i="5" s="1"/>
  <c r="M72" i="5"/>
  <c r="O72" i="5" s="1"/>
  <c r="Q72" i="5" s="1"/>
  <c r="S72" i="5" s="1"/>
  <c r="U72" i="5" s="1"/>
  <c r="W72" i="5" s="1"/>
  <c r="Y72" i="5" s="1"/>
  <c r="AA72" i="5" s="1"/>
  <c r="AC72" i="5" s="1"/>
  <c r="AE72" i="5" s="1"/>
  <c r="AG72" i="5" s="1"/>
  <c r="AI72" i="5" s="1"/>
  <c r="AK72" i="5" s="1"/>
  <c r="I71" i="5"/>
  <c r="I72" i="5" s="1"/>
  <c r="G71" i="5"/>
  <c r="G72" i="5" s="1"/>
  <c r="E71" i="5"/>
  <c r="E72" i="5" s="1"/>
  <c r="N69" i="5"/>
  <c r="P69" i="5" s="1"/>
  <c r="R69" i="5" s="1"/>
  <c r="T69" i="5" s="1"/>
  <c r="V69" i="5" s="1"/>
  <c r="X69" i="5" s="1"/>
  <c r="Z69" i="5" s="1"/>
  <c r="AB69" i="5" s="1"/>
  <c r="AD69" i="5" s="1"/>
  <c r="AF69" i="5" s="1"/>
  <c r="AH69" i="5" s="1"/>
  <c r="AJ69" i="5" s="1"/>
  <c r="AL69" i="5" s="1"/>
  <c r="M69" i="5"/>
  <c r="O69" i="5" s="1"/>
  <c r="Q69" i="5" s="1"/>
  <c r="S69" i="5" s="1"/>
  <c r="U69" i="5" s="1"/>
  <c r="W69" i="5" s="1"/>
  <c r="Y69" i="5" s="1"/>
  <c r="AA69" i="5" s="1"/>
  <c r="AC69" i="5" s="1"/>
  <c r="AE69" i="5" s="1"/>
  <c r="AG69" i="5" s="1"/>
  <c r="AI69" i="5" s="1"/>
  <c r="AK69" i="5" s="1"/>
  <c r="I69" i="5"/>
  <c r="G69" i="5"/>
  <c r="E69" i="5"/>
  <c r="H68" i="5"/>
  <c r="H13" i="8" s="1"/>
  <c r="F68" i="5"/>
  <c r="F13" i="8" s="1"/>
  <c r="I65" i="5"/>
  <c r="G65" i="5"/>
  <c r="K64" i="5"/>
  <c r="H64" i="5"/>
  <c r="F64" i="5"/>
  <c r="F12" i="8" s="1"/>
  <c r="I56" i="5"/>
  <c r="G54" i="5"/>
  <c r="G56" i="5" s="1"/>
  <c r="I50" i="5"/>
  <c r="G48" i="5"/>
  <c r="G50" i="5" s="1"/>
  <c r="G38" i="5"/>
  <c r="I38" i="5" s="1"/>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E15" i="5"/>
  <c r="E12" i="5" a="1"/>
  <c r="E12" i="5" s="1"/>
  <c r="E14" i="5" s="1"/>
  <c r="E11" i="5" a="1"/>
  <c r="E11" i="5" s="1"/>
  <c r="E10" i="5" a="1"/>
  <c r="E10" i="5" s="1"/>
  <c r="F8" i="5"/>
  <c r="E6" i="5"/>
  <c r="R14" i="2"/>
  <c r="S209" i="2"/>
  <c r="S285" i="2"/>
  <c r="S383" i="2"/>
  <c r="S186" i="2"/>
  <c r="S287" i="2"/>
  <c r="S213" i="2"/>
  <c r="S341" i="2"/>
  <c r="R340" i="2"/>
  <c r="R134" i="2"/>
  <c r="S227" i="2"/>
  <c r="R136" i="2"/>
  <c r="S222" i="2"/>
  <c r="S194" i="2"/>
  <c r="R16" i="2"/>
  <c r="S333" i="2"/>
  <c r="S203" i="2"/>
  <c r="S192" i="2"/>
  <c r="S339" i="2"/>
  <c r="R125" i="2"/>
  <c r="S286" i="2"/>
  <c r="S183" i="2"/>
  <c r="S190" i="2"/>
  <c r="R135" i="2"/>
  <c r="R17" i="2"/>
  <c r="S332" i="2"/>
  <c r="R341" i="2"/>
  <c r="S378" i="2"/>
  <c r="R124" i="2"/>
  <c r="S204" i="2"/>
  <c r="S385" i="2"/>
  <c r="S122" i="2"/>
  <c r="S125" i="2"/>
  <c r="R339" i="2"/>
  <c r="R40" i="2"/>
  <c r="S184" i="2"/>
  <c r="S215" i="2"/>
  <c r="S340" i="2"/>
  <c r="S377" i="2"/>
  <c r="R123" i="2"/>
  <c r="S315" i="2"/>
  <c r="S384" i="2"/>
  <c r="R137" i="2"/>
  <c r="S224" i="2"/>
  <c r="S316" i="2"/>
  <c r="S189" i="2"/>
  <c r="S223" i="2"/>
  <c r="S314" i="2"/>
  <c r="R41" i="2"/>
  <c r="S202" i="2"/>
  <c r="R122" i="2"/>
  <c r="S182" i="2"/>
  <c r="S193" i="2"/>
  <c r="S379" i="2"/>
  <c r="S123" i="2"/>
  <c r="S191" i="2"/>
  <c r="S328" i="2"/>
  <c r="S207" i="2"/>
  <c r="S124" i="2"/>
  <c r="S331" i="2"/>
  <c r="S386" i="2"/>
  <c r="T158" i="2"/>
  <c r="K194" i="5" l="1"/>
  <c r="K200" i="5" s="1"/>
  <c r="C3" i="17"/>
  <c r="K165" i="5"/>
  <c r="K164" i="5"/>
  <c r="K549" i="5" s="1"/>
  <c r="H249" i="5"/>
  <c r="H426" i="5"/>
  <c r="H12" i="8"/>
  <c r="J65" i="5"/>
  <c r="M5" i="9"/>
  <c r="M20" i="9" s="1"/>
  <c r="M16" i="10"/>
  <c r="M2" i="10"/>
  <c r="N5" i="9"/>
  <c r="N20" i="9" s="1"/>
  <c r="N2" i="10"/>
  <c r="N16" i="10"/>
  <c r="J5" i="9"/>
  <c r="J20" i="9" s="1"/>
  <c r="J2" i="10"/>
  <c r="J16" i="10"/>
  <c r="G5" i="9"/>
  <c r="G20" i="9" s="1"/>
  <c r="G2" i="10"/>
  <c r="G16" i="10"/>
  <c r="H5" i="9"/>
  <c r="H20" i="9" s="1"/>
  <c r="H2" i="10"/>
  <c r="H16" i="10"/>
  <c r="I5" i="9"/>
  <c r="I20" i="9" s="1"/>
  <c r="I16" i="10"/>
  <c r="I2" i="10"/>
  <c r="K5" i="9"/>
  <c r="K20" i="9" s="1"/>
  <c r="K2" i="10"/>
  <c r="K16" i="10"/>
  <c r="L5" i="9"/>
  <c r="L20" i="9" s="1"/>
  <c r="L2" i="10"/>
  <c r="L16" i="10"/>
  <c r="E280" i="5"/>
  <c r="E284" i="5" s="1"/>
  <c r="F7" i="4" a="1"/>
  <c r="F7" i="4" s="1"/>
  <c r="F10" i="4" s="1"/>
  <c r="G398" i="5"/>
  <c r="H397" i="5"/>
  <c r="H398" i="5" s="1"/>
  <c r="I397" i="5"/>
  <c r="I398" i="5" s="1"/>
  <c r="K397" i="5"/>
  <c r="K399" i="5" s="1"/>
  <c r="L397" i="5" s="1"/>
  <c r="L399" i="5" s="1"/>
  <c r="M397" i="5" s="1"/>
  <c r="M399" i="5" s="1"/>
  <c r="N397" i="5" s="1"/>
  <c r="N399" i="5" s="1"/>
  <c r="O397" i="5" s="1"/>
  <c r="O399" i="5" s="1"/>
  <c r="P397" i="5" s="1"/>
  <c r="P399" i="5" s="1"/>
  <c r="Q397" i="5" s="1"/>
  <c r="Q399" i="5" s="1"/>
  <c r="R397" i="5" s="1"/>
  <c r="R399" i="5" s="1"/>
  <c r="S397" i="5" s="1"/>
  <c r="S399" i="5" s="1"/>
  <c r="T397" i="5" s="1"/>
  <c r="T399" i="5" s="1"/>
  <c r="U397" i="5" s="1"/>
  <c r="U399" i="5" s="1"/>
  <c r="V397" i="5" s="1"/>
  <c r="V399" i="5" s="1"/>
  <c r="W397" i="5" s="1"/>
  <c r="W399" i="5" s="1"/>
  <c r="X397" i="5" s="1"/>
  <c r="X399" i="5" s="1"/>
  <c r="Y397" i="5" s="1"/>
  <c r="Y399" i="5" s="1"/>
  <c r="Z397" i="5" s="1"/>
  <c r="Z399" i="5" s="1"/>
  <c r="AA397" i="5" s="1"/>
  <c r="AA399" i="5" s="1"/>
  <c r="AB397" i="5" s="1"/>
  <c r="AB399" i="5" s="1"/>
  <c r="AC397" i="5" s="1"/>
  <c r="AC399" i="5" s="1"/>
  <c r="AD397" i="5" s="1"/>
  <c r="AD399" i="5" s="1"/>
  <c r="AE397" i="5" s="1"/>
  <c r="AE399" i="5" s="1"/>
  <c r="AF397" i="5" s="1"/>
  <c r="AF399" i="5" s="1"/>
  <c r="AG397" i="5" s="1"/>
  <c r="AG399" i="5" s="1"/>
  <c r="AH397" i="5" s="1"/>
  <c r="AH399" i="5" s="1"/>
  <c r="AI397" i="5" s="1"/>
  <c r="AI399" i="5" s="1"/>
  <c r="AJ397" i="5" s="1"/>
  <c r="AJ399" i="5" s="1"/>
  <c r="AK397" i="5" s="1"/>
  <c r="AK399" i="5" s="1"/>
  <c r="AL397" i="5" s="1"/>
  <c r="AL399" i="5" s="1"/>
  <c r="G8" i="5"/>
  <c r="G542" i="5" s="1"/>
  <c r="X49" i="4"/>
  <c r="G16" i="8"/>
  <c r="CR16" i="8" s="1"/>
  <c r="G326" i="5"/>
  <c r="L234" i="5"/>
  <c r="L172" i="5" s="1"/>
  <c r="L178" i="5" s="1"/>
  <c r="L164" i="5" s="1"/>
  <c r="L549" i="5" s="1"/>
  <c r="E29" i="8"/>
  <c r="CP29" i="8" s="1"/>
  <c r="E28" i="8"/>
  <c r="CP28" i="8" s="1"/>
  <c r="I409" i="5"/>
  <c r="Q87" i="4"/>
  <c r="F305" i="5"/>
  <c r="G210" i="6" s="1"/>
  <c r="I57" i="5"/>
  <c r="G368" i="5"/>
  <c r="H94" i="5"/>
  <c r="G29" i="8"/>
  <c r="CR29" i="8" s="1"/>
  <c r="I326" i="5"/>
  <c r="H133" i="5"/>
  <c r="I351" i="5"/>
  <c r="F114" i="2"/>
  <c r="F338" i="2" s="1"/>
  <c r="E217" i="2"/>
  <c r="G3" i="4"/>
  <c r="H3" i="4" s="1"/>
  <c r="G350" i="5"/>
  <c r="G346" i="5"/>
  <c r="G347" i="5" s="1"/>
  <c r="E134" i="2" a="1"/>
  <c r="E134" i="2" s="1"/>
  <c r="E135" i="2" a="1"/>
  <c r="E135" i="2" s="1"/>
  <c r="F211" i="5"/>
  <c r="E137" i="2" a="1"/>
  <c r="E137" i="2" s="1"/>
  <c r="E335" i="2"/>
  <c r="E136" i="2" a="1"/>
  <c r="E136" i="2" s="1"/>
  <c r="H339" i="5"/>
  <c r="H342" i="5" s="1"/>
  <c r="I458" i="5"/>
  <c r="I459" i="5" s="1"/>
  <c r="G235" i="5"/>
  <c r="E281" i="2"/>
  <c r="R87" i="4"/>
  <c r="I235" i="5"/>
  <c r="G44" i="5"/>
  <c r="G502" i="5"/>
  <c r="E226" i="2"/>
  <c r="I16" i="8"/>
  <c r="CT16" i="8" s="1"/>
  <c r="G303" i="2"/>
  <c r="F156" i="2"/>
  <c r="F255" i="6"/>
  <c r="K457" i="5"/>
  <c r="K458" i="5" s="1"/>
  <c r="F386" i="2"/>
  <c r="V87" i="4"/>
  <c r="AE5" i="8"/>
  <c r="G28" i="8"/>
  <c r="CR28" i="8" s="1"/>
  <c r="H79" i="5"/>
  <c r="H135" i="5"/>
  <c r="F123" i="2"/>
  <c r="E8" i="4"/>
  <c r="E2" i="4" s="1"/>
  <c r="F154" i="5"/>
  <c r="G554" i="5"/>
  <c r="H326" i="5"/>
  <c r="G409" i="5"/>
  <c r="F142" i="2"/>
  <c r="F5" i="4" a="1"/>
  <c r="F5" i="4" s="1"/>
  <c r="H154" i="5"/>
  <c r="I373" i="5"/>
  <c r="K373" i="5" s="1"/>
  <c r="L373" i="5" s="1"/>
  <c r="M373" i="5" s="1"/>
  <c r="N373" i="5" s="1"/>
  <c r="O373" i="5" s="1"/>
  <c r="P373" i="5" s="1"/>
  <c r="Q373" i="5" s="1"/>
  <c r="R373" i="5" s="1"/>
  <c r="S373" i="5" s="1"/>
  <c r="T373" i="5" s="1"/>
  <c r="U373" i="5" s="1"/>
  <c r="V373" i="5" s="1"/>
  <c r="W373" i="5" s="1"/>
  <c r="X373" i="5" s="1"/>
  <c r="Y373" i="5" s="1"/>
  <c r="Z373" i="5" s="1"/>
  <c r="AA373" i="5" s="1"/>
  <c r="AB373" i="5" s="1"/>
  <c r="AC373" i="5" s="1"/>
  <c r="AD373" i="5" s="1"/>
  <c r="AE373" i="5" s="1"/>
  <c r="AF373" i="5" s="1"/>
  <c r="AG373" i="5" s="1"/>
  <c r="AH373" i="5" s="1"/>
  <c r="AI373" i="5" s="1"/>
  <c r="AJ373" i="5" s="1"/>
  <c r="AK373" i="5" s="1"/>
  <c r="AL373" i="5" s="1"/>
  <c r="G433" i="5"/>
  <c r="G436" i="5" s="1"/>
  <c r="G439" i="5" s="1"/>
  <c r="F13" i="4"/>
  <c r="U87" i="4"/>
  <c r="H433" i="5"/>
  <c r="H436" i="5" s="1"/>
  <c r="H439" i="5" s="1"/>
  <c r="H92" i="5"/>
  <c r="F219" i="5"/>
  <c r="H351" i="5"/>
  <c r="E3" i="2"/>
  <c r="E27" i="8"/>
  <c r="CP27" i="8" s="1"/>
  <c r="K401" i="5"/>
  <c r="K403" i="5" s="1"/>
  <c r="L401" i="5" s="1"/>
  <c r="L403" i="5" s="1"/>
  <c r="M401" i="5" s="1"/>
  <c r="M403" i="5" s="1"/>
  <c r="H138" i="5"/>
  <c r="I98" i="5"/>
  <c r="H134" i="5"/>
  <c r="I304" i="5"/>
  <c r="I305" i="5" s="1"/>
  <c r="E196" i="2"/>
  <c r="E201" i="5"/>
  <c r="E208" i="5" s="1"/>
  <c r="H76" i="5"/>
  <c r="K425" i="5"/>
  <c r="G115" i="2"/>
  <c r="G231" i="5"/>
  <c r="H276" i="5"/>
  <c r="I368" i="5"/>
  <c r="K368" i="5" s="1"/>
  <c r="L368" i="5" s="1"/>
  <c r="M368" i="5" s="1"/>
  <c r="N368" i="5" s="1"/>
  <c r="O368" i="5" s="1"/>
  <c r="P368" i="5" s="1"/>
  <c r="Q368" i="5" s="1"/>
  <c r="R368" i="5" s="1"/>
  <c r="S368" i="5" s="1"/>
  <c r="T368" i="5" s="1"/>
  <c r="U368" i="5" s="1"/>
  <c r="V368" i="5" s="1"/>
  <c r="W368" i="5" s="1"/>
  <c r="X368" i="5" s="1"/>
  <c r="Y368" i="5" s="1"/>
  <c r="Z368" i="5" s="1"/>
  <c r="AA368" i="5" s="1"/>
  <c r="AB368" i="5" s="1"/>
  <c r="AC368" i="5" s="1"/>
  <c r="AD368" i="5" s="1"/>
  <c r="AE368" i="5" s="1"/>
  <c r="AF368" i="5" s="1"/>
  <c r="AG368" i="5" s="1"/>
  <c r="AH368" i="5" s="1"/>
  <c r="AI368" i="5" s="1"/>
  <c r="AJ368" i="5" s="1"/>
  <c r="AK368" i="5" s="1"/>
  <c r="AL368" i="5" s="1"/>
  <c r="H493" i="5"/>
  <c r="F232" i="2"/>
  <c r="F246" i="2"/>
  <c r="I28" i="8"/>
  <c r="CT28" i="8" s="1"/>
  <c r="I51" i="5"/>
  <c r="F265" i="5"/>
  <c r="L414" i="5"/>
  <c r="M414" i="5" s="1"/>
  <c r="N414" i="5" s="1"/>
  <c r="F335" i="2"/>
  <c r="G265" i="5"/>
  <c r="E253" i="5"/>
  <c r="K453" i="5"/>
  <c r="L457" i="5" s="1"/>
  <c r="L458" i="5" s="1"/>
  <c r="F187" i="2"/>
  <c r="M64" i="5"/>
  <c r="M105" i="5" s="1"/>
  <c r="F97" i="5"/>
  <c r="H239" i="5"/>
  <c r="G373" i="5"/>
  <c r="I433" i="5"/>
  <c r="I436" i="5" s="1"/>
  <c r="I439" i="5" s="1"/>
  <c r="F125" i="2"/>
  <c r="G14" i="8"/>
  <c r="CR14" i="8" s="1"/>
  <c r="K105" i="5"/>
  <c r="H186" i="5"/>
  <c r="H197" i="5" s="1"/>
  <c r="I502" i="5"/>
  <c r="F196" i="2"/>
  <c r="E381" i="2"/>
  <c r="F384" i="2"/>
  <c r="I14" i="8"/>
  <c r="CT14" i="8" s="1"/>
  <c r="F14" i="8"/>
  <c r="CQ14" i="8" s="1"/>
  <c r="E380" i="2"/>
  <c r="F381" i="2"/>
  <c r="F253" i="5"/>
  <c r="G230" i="5"/>
  <c r="E554" i="5"/>
  <c r="F380" i="2"/>
  <c r="F226" i="2"/>
  <c r="F276" i="5"/>
  <c r="F98" i="5"/>
  <c r="H14" i="8"/>
  <c r="CS14" i="8" s="1"/>
  <c r="H91" i="5"/>
  <c r="F99" i="5"/>
  <c r="F189" i="5"/>
  <c r="F198" i="5" s="1"/>
  <c r="I388" i="5"/>
  <c r="E187" i="2"/>
  <c r="H169" i="5"/>
  <c r="G376" i="5"/>
  <c r="H409" i="5"/>
  <c r="E382" i="2"/>
  <c r="I27" i="8"/>
  <c r="CT27" i="8" s="1"/>
  <c r="H16" i="8"/>
  <c r="CS16" i="8" s="1"/>
  <c r="F100" i="5"/>
  <c r="H189" i="5"/>
  <c r="H198" i="5" s="1"/>
  <c r="H27" i="8"/>
  <c r="CS27" i="8" s="1"/>
  <c r="H226" i="5"/>
  <c r="H235" i="5" s="1"/>
  <c r="F326" i="5"/>
  <c r="H376" i="5"/>
  <c r="F195" i="2"/>
  <c r="F382" i="2"/>
  <c r="T87" i="4"/>
  <c r="G27" i="8"/>
  <c r="CR27" i="8" s="1"/>
  <c r="H99" i="5"/>
  <c r="E195" i="2"/>
  <c r="H100" i="5"/>
  <c r="E231" i="5"/>
  <c r="I280" i="5"/>
  <c r="I284" i="5" s="1"/>
  <c r="I376" i="5"/>
  <c r="J377" i="5" s="1"/>
  <c r="G402" i="5"/>
  <c r="D531" i="5"/>
  <c r="G219" i="6"/>
  <c r="G177" i="6"/>
  <c r="G225" i="6"/>
  <c r="G209" i="2" s="1"/>
  <c r="G204" i="6"/>
  <c r="G192" i="2" s="1"/>
  <c r="G201" i="6"/>
  <c r="G231" i="6"/>
  <c r="F542" i="5"/>
  <c r="F545" i="5"/>
  <c r="F12" i="5" a="1"/>
  <c r="F12" i="5" s="1"/>
  <c r="F14" i="5" s="1"/>
  <c r="F17" i="5"/>
  <c r="F11" i="5" a="1"/>
  <c r="F11" i="5" s="1"/>
  <c r="F10" i="5" a="1"/>
  <c r="F10" i="5" s="1"/>
  <c r="I41" i="5"/>
  <c r="I42" i="5" s="1"/>
  <c r="F23" i="8"/>
  <c r="F28" i="8" s="1"/>
  <c r="CQ28" i="8" s="1"/>
  <c r="F227" i="5"/>
  <c r="F218" i="5"/>
  <c r="F8" i="8"/>
  <c r="CQ8" i="8" s="1"/>
  <c r="F550" i="5"/>
  <c r="F548" i="5"/>
  <c r="G441" i="5"/>
  <c r="H23" i="8"/>
  <c r="H28" i="8" s="1"/>
  <c r="CS28" i="8" s="1"/>
  <c r="H219" i="5"/>
  <c r="H227" i="5"/>
  <c r="H218" i="5"/>
  <c r="H8" i="8"/>
  <c r="CS8" i="8" s="1"/>
  <c r="H550" i="5"/>
  <c r="H548" i="5"/>
  <c r="I441" i="5"/>
  <c r="H441" i="5"/>
  <c r="H136" i="5"/>
  <c r="H137" i="5"/>
  <c r="G201" i="5"/>
  <c r="F69" i="5"/>
  <c r="H168" i="5"/>
  <c r="K231" i="5"/>
  <c r="K117" i="5"/>
  <c r="C8" i="17" s="1"/>
  <c r="L231" i="5"/>
  <c r="L117" i="5"/>
  <c r="F71" i="5"/>
  <c r="F72" i="5" s="1"/>
  <c r="E13" i="5"/>
  <c r="H98" i="5"/>
  <c r="H97" i="5"/>
  <c r="H90" i="5"/>
  <c r="F15" i="5"/>
  <c r="I199" i="5"/>
  <c r="I201" i="5" s="1"/>
  <c r="H71" i="5"/>
  <c r="H72" i="5" s="1"/>
  <c r="H93" i="5"/>
  <c r="K189" i="5"/>
  <c r="K198" i="5" s="1"/>
  <c r="H211" i="5"/>
  <c r="I24" i="8"/>
  <c r="I29" i="8" s="1"/>
  <c r="CT29" i="8" s="1"/>
  <c r="I231" i="5"/>
  <c r="H243" i="5"/>
  <c r="H69" i="5"/>
  <c r="K68" i="5"/>
  <c r="C4" i="17" s="1"/>
  <c r="K71" i="5"/>
  <c r="K109" i="5" s="1"/>
  <c r="I99" i="5"/>
  <c r="K201" i="5"/>
  <c r="F16" i="8"/>
  <c r="CQ16" i="8" s="1"/>
  <c r="F76" i="5"/>
  <c r="I94" i="5"/>
  <c r="H7" i="8"/>
  <c r="CS7" i="8" s="1"/>
  <c r="H371" i="5"/>
  <c r="H373" i="5" s="1"/>
  <c r="H366" i="5"/>
  <c r="H368" i="5" s="1"/>
  <c r="H361" i="5"/>
  <c r="H363" i="5" s="1"/>
  <c r="H210" i="5"/>
  <c r="F226" i="5"/>
  <c r="H238" i="5"/>
  <c r="H65" i="5"/>
  <c r="I100" i="5"/>
  <c r="L318" i="5"/>
  <c r="H80" i="5"/>
  <c r="F186" i="5"/>
  <c r="F197" i="5" s="1"/>
  <c r="H350" i="5"/>
  <c r="H354" i="5"/>
  <c r="H346" i="5"/>
  <c r="H347" i="5" s="1"/>
  <c r="K12" i="8"/>
  <c r="K218" i="5"/>
  <c r="F22" i="8"/>
  <c r="F27" i="8" s="1"/>
  <c r="CQ27" i="8" s="1"/>
  <c r="F210" i="5"/>
  <c r="G253" i="5"/>
  <c r="H472" i="5"/>
  <c r="K487" i="5"/>
  <c r="K492" i="5" s="1"/>
  <c r="K310" i="5"/>
  <c r="J435" i="5"/>
  <c r="H497" i="5"/>
  <c r="H502" i="5" s="1"/>
  <c r="H478" i="5"/>
  <c r="K320" i="5"/>
  <c r="M350" i="5"/>
  <c r="G354" i="5"/>
  <c r="G351" i="5"/>
  <c r="K466" i="5"/>
  <c r="G304" i="5"/>
  <c r="G305" i="5" s="1"/>
  <c r="H263" i="5"/>
  <c r="H265" i="5" s="1"/>
  <c r="I354" i="5"/>
  <c r="H304" i="5"/>
  <c r="H305" i="5" s="1"/>
  <c r="K313" i="5"/>
  <c r="K328" i="5"/>
  <c r="H250" i="5"/>
  <c r="H345" i="5"/>
  <c r="E230" i="5"/>
  <c r="I401" i="5"/>
  <c r="I402" i="5" s="1"/>
  <c r="H402" i="5"/>
  <c r="E15" i="1"/>
  <c r="I346" i="5"/>
  <c r="I347" i="5" s="1"/>
  <c r="G363" i="5"/>
  <c r="I363" i="5"/>
  <c r="K363" i="5" s="1"/>
  <c r="L363" i="5" s="1"/>
  <c r="M363" i="5" s="1"/>
  <c r="N363" i="5" s="1"/>
  <c r="O363" i="5" s="1"/>
  <c r="P363" i="5" s="1"/>
  <c r="Q363" i="5" s="1"/>
  <c r="R363" i="5" s="1"/>
  <c r="S363" i="5" s="1"/>
  <c r="T363" i="5" s="1"/>
  <c r="U363" i="5" s="1"/>
  <c r="V363" i="5" s="1"/>
  <c r="W363" i="5" s="1"/>
  <c r="X363" i="5" s="1"/>
  <c r="Y363" i="5" s="1"/>
  <c r="Z363" i="5" s="1"/>
  <c r="AA363" i="5" s="1"/>
  <c r="AB363" i="5" s="1"/>
  <c r="AC363" i="5" s="1"/>
  <c r="AD363" i="5" s="1"/>
  <c r="AE363" i="5" s="1"/>
  <c r="AF363" i="5" s="1"/>
  <c r="AG363" i="5" s="1"/>
  <c r="AH363" i="5" s="1"/>
  <c r="AI363" i="5" s="1"/>
  <c r="AJ363" i="5" s="1"/>
  <c r="AK363" i="5" s="1"/>
  <c r="AL363" i="5" s="1"/>
  <c r="I501" i="5"/>
  <c r="G142" i="2"/>
  <c r="E232" i="2"/>
  <c r="F208" i="2"/>
  <c r="E216" i="2"/>
  <c r="F216" i="2"/>
  <c r="F262" i="2"/>
  <c r="F272" i="2"/>
  <c r="F333" i="2"/>
  <c r="E9" i="4"/>
  <c r="E10" i="4"/>
  <c r="E208" i="2"/>
  <c r="G202" i="6"/>
  <c r="S87" i="4"/>
  <c r="E16" i="8"/>
  <c r="CP16" i="8" s="1"/>
  <c r="E14" i="8"/>
  <c r="CP14" i="8" s="1"/>
  <c r="G224" i="6"/>
  <c r="G212" i="2" s="1"/>
  <c r="G237" i="6"/>
  <c r="G227" i="2" s="1"/>
  <c r="F11" i="4"/>
  <c r="G235" i="6"/>
  <c r="G223" i="2" s="1"/>
  <c r="G215" i="6"/>
  <c r="G204" i="2" s="1"/>
  <c r="G220" i="6"/>
  <c r="G205" i="6"/>
  <c r="G193" i="2" s="1"/>
  <c r="G228" i="6"/>
  <c r="G197" i="6"/>
  <c r="G186" i="2" s="1"/>
  <c r="G194" i="6"/>
  <c r="G182" i="2" s="1"/>
  <c r="G239" i="6"/>
  <c r="G218" i="6"/>
  <c r="G206" i="6"/>
  <c r="G191" i="2" s="1"/>
  <c r="G236" i="6"/>
  <c r="G224" i="2" s="1"/>
  <c r="G222" i="6"/>
  <c r="G203" i="6"/>
  <c r="G226" i="6"/>
  <c r="G199" i="6"/>
  <c r="G229" i="6"/>
  <c r="G195" i="6"/>
  <c r="G183" i="2" s="1"/>
  <c r="G216" i="6"/>
  <c r="G213" i="6"/>
  <c r="G203" i="2" s="1"/>
  <c r="G217" i="2" s="1"/>
  <c r="G214" i="6"/>
  <c r="G202" i="2" s="1"/>
  <c r="G217" i="6"/>
  <c r="G209" i="6"/>
  <c r="G196" i="6"/>
  <c r="G184" i="2" s="1"/>
  <c r="H7" i="6"/>
  <c r="G207" i="6"/>
  <c r="G227" i="6"/>
  <c r="G213" i="2" s="1"/>
  <c r="G234" i="6"/>
  <c r="G222" i="2" s="1"/>
  <c r="W87" i="4"/>
  <c r="F6" i="4" a="1"/>
  <c r="F6" i="4" s="1"/>
  <c r="E20" i="9"/>
  <c r="T157" i="2"/>
  <c r="T386" i="2"/>
  <c r="T266" i="2"/>
  <c r="T196" i="2"/>
  <c r="T170" i="2"/>
  <c r="T190" i="2"/>
  <c r="S226" i="2"/>
  <c r="BB8" i="8"/>
  <c r="BJ8" i="8"/>
  <c r="S261" i="2"/>
  <c r="M267" i="6" a="1"/>
  <c r="J268" i="6" a="1"/>
  <c r="BA9" i="8"/>
  <c r="S298" i="2"/>
  <c r="T160" i="2"/>
  <c r="AF8" i="9"/>
  <c r="S353" i="2"/>
  <c r="F261" i="6"/>
  <c r="S372" i="2"/>
  <c r="T352" i="2"/>
  <c r="S188" i="2"/>
  <c r="BI7" i="8"/>
  <c r="K266" i="6" a="1"/>
  <c r="S308" i="2"/>
  <c r="BN7" i="8"/>
  <c r="S155" i="2"/>
  <c r="T260" i="2"/>
  <c r="S304" i="2"/>
  <c r="I268" i="6" a="1"/>
  <c r="AX9" i="8"/>
  <c r="BI8" i="8"/>
  <c r="S136" i="2"/>
  <c r="F267" i="6" a="1"/>
  <c r="T383" i="2"/>
  <c r="K267" i="6" a="1"/>
  <c r="T337" i="2"/>
  <c r="S262" i="2"/>
  <c r="S195" i="2"/>
  <c r="L262" i="6"/>
  <c r="S160" i="2"/>
  <c r="G261" i="6"/>
  <c r="T174" i="2"/>
  <c r="T254" i="2"/>
  <c r="T183" i="2"/>
  <c r="S187" i="2"/>
  <c r="T256" i="2"/>
  <c r="R47" i="2"/>
  <c r="BL7" i="8"/>
  <c r="S292" i="2"/>
  <c r="S214" i="2"/>
  <c r="S242" i="2"/>
  <c r="BG9" i="8"/>
  <c r="AW7" i="8"/>
  <c r="T371" i="2"/>
  <c r="S163" i="2"/>
  <c r="BB9" i="8"/>
  <c r="P267" i="6" a="1"/>
  <c r="I262" i="6"/>
  <c r="S212" i="2"/>
  <c r="BK7" i="8"/>
  <c r="BC9" i="8"/>
  <c r="S329" i="2"/>
  <c r="AY9" i="8"/>
  <c r="AM8" i="9"/>
  <c r="S365" i="2"/>
  <c r="S151" i="2"/>
  <c r="K263" i="6"/>
  <c r="S330" i="2"/>
  <c r="BB7" i="8"/>
  <c r="T357" i="2"/>
  <c r="T366" i="2"/>
  <c r="G267" i="6" a="1"/>
  <c r="L261" i="6"/>
  <c r="S358" i="2"/>
  <c r="BO8" i="8"/>
  <c r="AE9" i="9"/>
  <c r="T286" i="2"/>
  <c r="G266" i="6" a="1"/>
  <c r="P262" i="6"/>
  <c r="M262" i="6"/>
  <c r="AF7" i="9"/>
  <c r="AF9" i="9"/>
  <c r="AE8" i="9"/>
  <c r="S176" i="2"/>
  <c r="T207" i="2"/>
  <c r="F262" i="6"/>
  <c r="S156" i="2"/>
  <c r="S135" i="2"/>
  <c r="T159" i="2"/>
  <c r="AY8" i="8"/>
  <c r="T333" i="2"/>
  <c r="F258" i="6" a="1"/>
  <c r="AZ9" i="8"/>
  <c r="T149" i="2"/>
  <c r="T224" i="2"/>
  <c r="T244" i="2"/>
  <c r="T184" i="2"/>
  <c r="T341" i="2"/>
  <c r="BA7" i="8"/>
  <c r="BO7" i="8"/>
  <c r="BL8" i="8"/>
  <c r="BH7" i="8"/>
  <c r="S245" i="2"/>
  <c r="K261" i="6"/>
  <c r="AS8" i="8"/>
  <c r="AS7" i="8"/>
  <c r="BL9" i="8"/>
  <c r="S309" i="2"/>
  <c r="T289" i="2"/>
  <c r="S167" i="2"/>
  <c r="S259" i="2"/>
  <c r="L268" i="6" a="1"/>
  <c r="T268" i="2"/>
  <c r="T225" i="2"/>
  <c r="BF7" i="8"/>
  <c r="AV8" i="8"/>
  <c r="S290" i="2"/>
  <c r="BJ9" i="8"/>
  <c r="S337" i="2"/>
  <c r="S307" i="2"/>
  <c r="K268" i="6" a="1"/>
  <c r="N261" i="6"/>
  <c r="T270" i="2"/>
  <c r="S347" i="2"/>
  <c r="H267" i="6" a="1"/>
  <c r="T182" i="2"/>
  <c r="O262" i="6"/>
  <c r="S303" i="2"/>
  <c r="S381" i="2"/>
  <c r="T258" i="2"/>
  <c r="S216" i="2"/>
  <c r="S281" i="2"/>
  <c r="T217" i="2"/>
  <c r="BE8" i="8"/>
  <c r="BE7" i="8"/>
  <c r="J261" i="6"/>
  <c r="S146" i="2"/>
  <c r="T152" i="2"/>
  <c r="S244" i="2"/>
  <c r="U350" i="2"/>
  <c r="S305" i="2"/>
  <c r="S159" i="2"/>
  <c r="I261" i="6"/>
  <c r="F266" i="6" a="1"/>
  <c r="O261" i="6"/>
  <c r="S350" i="2"/>
  <c r="BF8" i="8"/>
  <c r="S288" i="2"/>
  <c r="U305" i="2"/>
  <c r="T214" i="2"/>
  <c r="AU8" i="8"/>
  <c r="AE7" i="9"/>
  <c r="S351" i="2"/>
  <c r="AD7" i="9"/>
  <c r="AD8" i="9"/>
  <c r="T288" i="2"/>
  <c r="U214" i="2"/>
  <c r="T151" i="2"/>
  <c r="T350" i="2"/>
  <c r="O266" i="6" a="1"/>
  <c r="T259" i="2"/>
  <c r="F263" i="6"/>
  <c r="H268" i="6" a="1"/>
  <c r="BD8" i="8"/>
  <c r="BJ7" i="8"/>
  <c r="S373" i="2"/>
  <c r="U225" i="2"/>
  <c r="T248" i="2"/>
  <c r="AT7" i="8"/>
  <c r="M261" i="6"/>
  <c r="S205" i="2"/>
  <c r="T145" i="2"/>
  <c r="U289" i="2"/>
  <c r="S371" i="2"/>
  <c r="BM9" i="8"/>
  <c r="S370" i="2"/>
  <c r="T245" i="2"/>
  <c r="S196" i="2"/>
  <c r="T156" i="2"/>
  <c r="T186" i="2"/>
  <c r="S232" i="2"/>
  <c r="T147" i="2"/>
  <c r="L266" i="6" a="1"/>
  <c r="S345" i="2"/>
  <c r="S175" i="2"/>
  <c r="Q262" i="6"/>
  <c r="J263" i="6"/>
  <c r="T155" i="2"/>
  <c r="T351" i="2"/>
  <c r="AK8" i="9"/>
  <c r="S173" i="2"/>
  <c r="T290" i="2"/>
  <c r="AJ7" i="9"/>
  <c r="M268" i="6" a="1"/>
  <c r="S300" i="2"/>
  <c r="S278" i="2"/>
  <c r="T146" i="2"/>
  <c r="S225" i="2"/>
  <c r="T372" i="2"/>
  <c r="S368" i="2"/>
  <c r="AI8" i="9"/>
  <c r="I267" i="6" a="1"/>
  <c r="S272" i="2"/>
  <c r="S306" i="2"/>
  <c r="BG8" i="8"/>
  <c r="T304" i="2"/>
  <c r="T292" i="2"/>
  <c r="AM7" i="9"/>
  <c r="Q267" i="6" a="1"/>
  <c r="Q266" i="6" a="1"/>
  <c r="S247" i="2"/>
  <c r="AU7" i="8"/>
  <c r="S269" i="2"/>
  <c r="S257" i="2"/>
  <c r="S280" i="2"/>
  <c r="U260" i="2"/>
  <c r="T287" i="2"/>
  <c r="R69" i="2"/>
  <c r="S369" i="2"/>
  <c r="R62" i="2"/>
  <c r="AW8" i="8"/>
  <c r="T144" i="2"/>
  <c r="S134" i="2"/>
  <c r="T379" i="2"/>
  <c r="T193" i="2"/>
  <c r="S335" i="2"/>
  <c r="T297" i="2"/>
  <c r="T302" i="2"/>
  <c r="S217" i="2"/>
  <c r="S168" i="2"/>
  <c r="T173" i="2"/>
  <c r="L263" i="6"/>
  <c r="S144" i="2"/>
  <c r="AZ7" i="8"/>
  <c r="T353" i="2"/>
  <c r="S258" i="2"/>
  <c r="AV9" i="8"/>
  <c r="O268" i="6" a="1"/>
  <c r="AZ8" i="8"/>
  <c r="T148" i="2"/>
  <c r="BK8" i="8"/>
  <c r="T373" i="2"/>
  <c r="AI9" i="9"/>
  <c r="AR9" i="8"/>
  <c r="AL9" i="9"/>
  <c r="R43" i="2"/>
  <c r="R70" i="2"/>
  <c r="BD7" i="8"/>
  <c r="AX8" i="8"/>
  <c r="AT8" i="8"/>
  <c r="AK9" i="9"/>
  <c r="S143" i="2"/>
  <c r="N266" i="6" a="1"/>
  <c r="S249" i="2"/>
  <c r="R37" i="2"/>
  <c r="S344" i="2"/>
  <c r="F259" i="6" a="1"/>
  <c r="T188" i="2"/>
  <c r="T343" i="2"/>
  <c r="G263" i="6"/>
  <c r="T355" i="2"/>
  <c r="T275" i="2"/>
  <c r="T211" i="2"/>
  <c r="M263" i="6"/>
  <c r="T153" i="2"/>
  <c r="R36" i="2"/>
  <c r="S246" i="2"/>
  <c r="S137" i="2"/>
  <c r="T227" i="2"/>
  <c r="T168" i="2"/>
  <c r="AU9" i="8"/>
  <c r="P261" i="6"/>
  <c r="T344" i="2"/>
  <c r="T223" i="2"/>
  <c r="T378" i="2"/>
  <c r="T281" i="2"/>
  <c r="T213" i="2"/>
  <c r="T187" i="2"/>
  <c r="S208" i="2"/>
  <c r="S171" i="2"/>
  <c r="BM8" i="8"/>
  <c r="BC7" i="8"/>
  <c r="I266" i="6" a="1"/>
  <c r="S248" i="2"/>
  <c r="BN8" i="8"/>
  <c r="H261" i="6"/>
  <c r="S140" i="2"/>
  <c r="T342" i="2"/>
  <c r="N267" i="6" a="1"/>
  <c r="AR7" i="8"/>
  <c r="T166" i="2"/>
  <c r="S268" i="2"/>
  <c r="J262" i="6"/>
  <c r="S275" i="2"/>
  <c r="S153" i="2"/>
  <c r="S206" i="2"/>
  <c r="S210" i="2"/>
  <c r="R63" i="2"/>
  <c r="AH7" i="9"/>
  <c r="AJ8" i="9"/>
  <c r="S142" i="2"/>
  <c r="T381" i="2"/>
  <c r="T164" i="2"/>
  <c r="T364" i="2"/>
  <c r="T365" i="2"/>
  <c r="S165" i="2"/>
  <c r="S343" i="2"/>
  <c r="BC8" i="8"/>
  <c r="R38" i="2"/>
  <c r="BM7" i="8"/>
  <c r="BI9" i="8"/>
  <c r="Q268" i="6" a="1"/>
  <c r="S145" i="2"/>
  <c r="R64" i="2"/>
  <c r="T209" i="2"/>
  <c r="S185" i="2"/>
  <c r="S152" i="2"/>
  <c r="H266" i="6" a="1"/>
  <c r="S164" i="2"/>
  <c r="T232" i="2"/>
  <c r="T269" i="2"/>
  <c r="T194" i="2"/>
  <c r="H263" i="6"/>
  <c r="AI7" i="9"/>
  <c r="T171" i="2"/>
  <c r="T141" i="2"/>
  <c r="S367" i="2"/>
  <c r="T203" i="2"/>
  <c r="S169" i="2"/>
  <c r="J267" i="6" a="1"/>
  <c r="T305" i="2"/>
  <c r="S260" i="2"/>
  <c r="S256" i="2"/>
  <c r="U329" i="2"/>
  <c r="T192" i="2"/>
  <c r="T380" i="2"/>
  <c r="T246" i="2"/>
  <c r="T226" i="2"/>
  <c r="T271" i="2"/>
  <c r="T222" i="2"/>
  <c r="AV7" i="8"/>
  <c r="S162" i="2"/>
  <c r="S276" i="2"/>
  <c r="S255" i="2"/>
  <c r="S270" i="2"/>
  <c r="K262" i="6"/>
  <c r="T330" i="2"/>
  <c r="T346" i="2"/>
  <c r="S158" i="2"/>
  <c r="S359" i="2"/>
  <c r="R46" i="2"/>
  <c r="R39" i="2"/>
  <c r="AG9" i="9"/>
  <c r="BH8" i="8"/>
  <c r="S254" i="2"/>
  <c r="AD9" i="9"/>
  <c r="R68" i="2"/>
  <c r="BD9" i="8"/>
  <c r="T154" i="2"/>
  <c r="T340" i="2"/>
  <c r="T215" i="2"/>
  <c r="T123" i="2"/>
  <c r="T216" i="2"/>
  <c r="T385" i="2"/>
  <c r="S301" i="2"/>
  <c r="S357" i="2"/>
  <c r="S297" i="2"/>
  <c r="S243" i="2"/>
  <c r="T255" i="2"/>
  <c r="S147" i="2"/>
  <c r="S271" i="2"/>
  <c r="S348" i="2"/>
  <c r="AL7" i="9"/>
  <c r="S172" i="2"/>
  <c r="Q263" i="6"/>
  <c r="T206" i="2"/>
  <c r="U168" i="2"/>
  <c r="T367" i="2"/>
  <c r="T356" i="2"/>
  <c r="S211" i="2"/>
  <c r="AH8" i="9"/>
  <c r="AS9" i="8"/>
  <c r="T189" i="2"/>
  <c r="BF9" i="8"/>
  <c r="AG8" i="9"/>
  <c r="I263" i="6"/>
  <c r="AK7" i="9"/>
  <c r="F260" i="6" a="1"/>
  <c r="AG7" i="9"/>
  <c r="T382" i="2"/>
  <c r="S355" i="2"/>
  <c r="T359" i="2"/>
  <c r="AM9" i="9"/>
  <c r="P263" i="6"/>
  <c r="S154" i="2"/>
  <c r="T150" i="2"/>
  <c r="J266" i="6" a="1"/>
  <c r="T257" i="2"/>
  <c r="P266" i="6" a="1"/>
  <c r="T125" i="2"/>
  <c r="T272" i="2"/>
  <c r="T208" i="2"/>
  <c r="S382" i="2"/>
  <c r="T247" i="2"/>
  <c r="O263" i="6"/>
  <c r="S342" i="2"/>
  <c r="T369" i="2"/>
  <c r="Q261" i="6"/>
  <c r="BN9" i="8"/>
  <c r="S149" i="2"/>
  <c r="T210" i="2"/>
  <c r="AX7" i="8"/>
  <c r="S364" i="2"/>
  <c r="AL8" i="9"/>
  <c r="T202" i="2"/>
  <c r="R42" i="2"/>
  <c r="S352" i="2"/>
  <c r="S141" i="2"/>
  <c r="T339" i="2"/>
  <c r="H262" i="6"/>
  <c r="AW9" i="8"/>
  <c r="P268" i="6" a="1"/>
  <c r="T163" i="2"/>
  <c r="BE9" i="8"/>
  <c r="AJ9" i="9"/>
  <c r="AR8" i="8"/>
  <c r="T191" i="2"/>
  <c r="T335" i="2"/>
  <c r="T143" i="2"/>
  <c r="T285" i="2"/>
  <c r="T384" i="2"/>
  <c r="T140" i="2"/>
  <c r="BG7" i="8"/>
  <c r="S366" i="2"/>
  <c r="S150" i="2"/>
  <c r="T212" i="2"/>
  <c r="S148" i="2"/>
  <c r="S346" i="2"/>
  <c r="T370" i="2"/>
  <c r="R65" i="2"/>
  <c r="AY7" i="8"/>
  <c r="BA8" i="8"/>
  <c r="BO9" i="8"/>
  <c r="M266" i="6" a="1"/>
  <c r="T354" i="2"/>
  <c r="T303" i="2"/>
  <c r="BH9" i="8"/>
  <c r="S266" i="2"/>
  <c r="N263" i="6"/>
  <c r="S291" i="2"/>
  <c r="T185" i="2"/>
  <c r="AT9" i="8"/>
  <c r="L267" i="6" a="1"/>
  <c r="S170" i="2"/>
  <c r="S354" i="2"/>
  <c r="S157" i="2"/>
  <c r="T161" i="2"/>
  <c r="R48" i="2"/>
  <c r="S161" i="2"/>
  <c r="S356" i="2"/>
  <c r="T329" i="2"/>
  <c r="T348" i="2"/>
  <c r="T345" i="2"/>
  <c r="BK9" i="8"/>
  <c r="S166" i="2"/>
  <c r="F268" i="6" a="1"/>
  <c r="T205" i="2"/>
  <c r="T242" i="2"/>
  <c r="S174" i="2"/>
  <c r="T243" i="2"/>
  <c r="G262" i="6"/>
  <c r="T142" i="2"/>
  <c r="T261" i="2"/>
  <c r="S380" i="2"/>
  <c r="T195" i="2"/>
  <c r="T262" i="2"/>
  <c r="T204" i="2"/>
  <c r="N262" i="6"/>
  <c r="S289" i="2"/>
  <c r="T358" i="2"/>
  <c r="G268" i="6" a="1"/>
  <c r="S296" i="2"/>
  <c r="T368" i="2"/>
  <c r="U166" i="2"/>
  <c r="O267" i="6" a="1"/>
  <c r="T175" i="2"/>
  <c r="S302" i="2"/>
  <c r="S267" i="2"/>
  <c r="T291" i="2"/>
  <c r="AH9" i="9"/>
  <c r="N268" i="6" a="1"/>
  <c r="T267" i="2"/>
  <c r="S299" i="2"/>
  <c r="T347" i="2"/>
  <c r="K253" i="5" l="1"/>
  <c r="F8" i="4"/>
  <c r="F2" i="4" s="1"/>
  <c r="F9" i="4"/>
  <c r="H8" i="5"/>
  <c r="H207" i="6" s="1"/>
  <c r="G545" i="5"/>
  <c r="J429" i="5"/>
  <c r="G15" i="5"/>
  <c r="G194" i="2"/>
  <c r="G380" i="2" s="1"/>
  <c r="G17" i="5"/>
  <c r="G473" i="5" s="1"/>
  <c r="G10" i="5" a="1"/>
  <c r="G10" i="5" s="1"/>
  <c r="G11" i="5" a="1"/>
  <c r="G11" i="5" s="1"/>
  <c r="G12" i="5" a="1"/>
  <c r="G12" i="5" s="1"/>
  <c r="G14" i="5" s="1"/>
  <c r="F327" i="2"/>
  <c r="F328" i="2"/>
  <c r="L351" i="5"/>
  <c r="M351" i="5" s="1"/>
  <c r="N351" i="5" s="1"/>
  <c r="F280" i="5"/>
  <c r="F284" i="5" s="1"/>
  <c r="P10" i="16"/>
  <c r="P8" i="16"/>
  <c r="P9" i="16" s="1"/>
  <c r="DA9" i="16" s="1"/>
  <c r="X50" i="4"/>
  <c r="G207" i="2"/>
  <c r="G6" i="4" a="1"/>
  <c r="G6" i="4" s="1"/>
  <c r="G11" i="4"/>
  <c r="G7" i="4" a="1"/>
  <c r="G7" i="4" s="1"/>
  <c r="G10" i="4" s="1"/>
  <c r="G13" i="4"/>
  <c r="G5" i="4" a="1"/>
  <c r="G5" i="4" s="1"/>
  <c r="G268" i="6"/>
  <c r="BB14" i="8"/>
  <c r="L266" i="6"/>
  <c r="I267" i="6"/>
  <c r="L268" i="6"/>
  <c r="AR14" i="8"/>
  <c r="M267" i="6"/>
  <c r="J267" i="6"/>
  <c r="AM14" i="9"/>
  <c r="Q266" i="6"/>
  <c r="AD14" i="9"/>
  <c r="AK14" i="9"/>
  <c r="AH14" i="9"/>
  <c r="AI14" i="9"/>
  <c r="F259" i="6"/>
  <c r="G266" i="6"/>
  <c r="H268" i="6"/>
  <c r="F268" i="6"/>
  <c r="M266" i="6"/>
  <c r="N266" i="6"/>
  <c r="AT14" i="8"/>
  <c r="AU14" i="8"/>
  <c r="AF14" i="9"/>
  <c r="Q267" i="6"/>
  <c r="I268" i="6"/>
  <c r="P267" i="6"/>
  <c r="AX14" i="8"/>
  <c r="BM14" i="8"/>
  <c r="H267" i="6"/>
  <c r="P268" i="6"/>
  <c r="AS14" i="8"/>
  <c r="BN14" i="8"/>
  <c r="BG14" i="8"/>
  <c r="H266" i="6"/>
  <c r="BH14" i="8"/>
  <c r="BC14" i="8"/>
  <c r="K267" i="6"/>
  <c r="F266" i="6"/>
  <c r="F258" i="6"/>
  <c r="G267" i="6"/>
  <c r="M268" i="6"/>
  <c r="BD14" i="8"/>
  <c r="L267" i="6"/>
  <c r="F260" i="6"/>
  <c r="AZ14" i="8"/>
  <c r="BJ14" i="8"/>
  <c r="BO14" i="8"/>
  <c r="BE14" i="8"/>
  <c r="AW14" i="8"/>
  <c r="AG14" i="9"/>
  <c r="BI14" i="8"/>
  <c r="O268" i="6"/>
  <c r="AE14" i="9"/>
  <c r="BA14" i="8"/>
  <c r="I266" i="6"/>
  <c r="AV14" i="8"/>
  <c r="Q268" i="6"/>
  <c r="O267" i="6"/>
  <c r="F267" i="6"/>
  <c r="P266" i="6"/>
  <c r="BL14" i="8"/>
  <c r="BF14" i="8"/>
  <c r="AL14" i="9"/>
  <c r="J268" i="6"/>
  <c r="O266" i="6"/>
  <c r="N267" i="6"/>
  <c r="BK14" i="8"/>
  <c r="K268" i="6"/>
  <c r="AY14" i="8"/>
  <c r="AJ14" i="9"/>
  <c r="N268" i="6"/>
  <c r="K266" i="6"/>
  <c r="J266" i="6"/>
  <c r="F336" i="2"/>
  <c r="H115" i="2"/>
  <c r="M12" i="8"/>
  <c r="G114" i="2"/>
  <c r="G338" i="2" s="1"/>
  <c r="K459" i="5"/>
  <c r="K152" i="5" s="1"/>
  <c r="K154" i="5" s="1"/>
  <c r="F228" i="2"/>
  <c r="F331" i="2"/>
  <c r="F135" i="2" a="1"/>
  <c r="F135" i="2" s="1"/>
  <c r="F377" i="2"/>
  <c r="F263" i="2"/>
  <c r="F3" i="2"/>
  <c r="E228" i="2"/>
  <c r="F137" i="2" a="1"/>
  <c r="F137" i="2" s="1"/>
  <c r="F122" i="2"/>
  <c r="F162" i="2"/>
  <c r="L425" i="5"/>
  <c r="G442" i="5"/>
  <c r="H442" i="5"/>
  <c r="H283" i="6" s="1"/>
  <c r="E207" i="5"/>
  <c r="M189" i="5"/>
  <c r="M198" i="5" s="1"/>
  <c r="O64" i="5"/>
  <c r="O194" i="5" s="1"/>
  <c r="O200" i="5" s="1"/>
  <c r="M68" i="5"/>
  <c r="M13" i="8" s="1"/>
  <c r="M71" i="5"/>
  <c r="M109" i="5" s="1"/>
  <c r="M201" i="5"/>
  <c r="M194" i="5"/>
  <c r="M200" i="5" s="1"/>
  <c r="I334" i="5"/>
  <c r="I6" i="5" s="1"/>
  <c r="H334" i="5"/>
  <c r="H6" i="5" s="1"/>
  <c r="L165" i="5"/>
  <c r="L253" i="5" s="1"/>
  <c r="I377" i="5"/>
  <c r="I552" i="5" s="1"/>
  <c r="I554" i="5" s="1"/>
  <c r="G334" i="5"/>
  <c r="G6" i="5" s="1"/>
  <c r="K319" i="5"/>
  <c r="K325" i="5" s="1"/>
  <c r="H24" i="8"/>
  <c r="H29" i="8" s="1"/>
  <c r="CS29" i="8" s="1"/>
  <c r="L319" i="5"/>
  <c r="H443" i="5"/>
  <c r="H286" i="6" s="1"/>
  <c r="F249" i="2"/>
  <c r="M425" i="5"/>
  <c r="F334" i="5"/>
  <c r="F6" i="5" s="1"/>
  <c r="H230" i="5"/>
  <c r="F334" i="2"/>
  <c r="K455" i="5"/>
  <c r="K448" i="5" s="1"/>
  <c r="K450" i="5" s="1"/>
  <c r="K296" i="5" s="1"/>
  <c r="F315" i="2"/>
  <c r="H231" i="5"/>
  <c r="F332" i="2"/>
  <c r="F314" i="2"/>
  <c r="I443" i="5"/>
  <c r="F280" i="2"/>
  <c r="E336" i="2"/>
  <c r="E197" i="2"/>
  <c r="F218" i="2"/>
  <c r="G232" i="6"/>
  <c r="G241" i="6" s="1"/>
  <c r="F201" i="5"/>
  <c r="F208" i="5" s="1"/>
  <c r="E334" i="2"/>
  <c r="G382" i="2"/>
  <c r="L453" i="5"/>
  <c r="L455" i="5" s="1"/>
  <c r="L448" i="5" s="1"/>
  <c r="L450" i="5" s="1"/>
  <c r="L296" i="5" s="1"/>
  <c r="G443" i="5"/>
  <c r="I442" i="5"/>
  <c r="F197" i="2"/>
  <c r="G196" i="2"/>
  <c r="G387" i="5"/>
  <c r="G388" i="5" s="1"/>
  <c r="G392" i="5" s="1"/>
  <c r="G393" i="5" s="1"/>
  <c r="G405" i="5" s="1"/>
  <c r="G411" i="5" s="1"/>
  <c r="G280" i="5"/>
  <c r="G284" i="5" s="1"/>
  <c r="G215" i="2"/>
  <c r="H201" i="5"/>
  <c r="H377" i="5"/>
  <c r="I208" i="5"/>
  <c r="I207" i="5"/>
  <c r="H280" i="5"/>
  <c r="H284" i="5" s="1"/>
  <c r="H387" i="5"/>
  <c r="H388" i="5" s="1"/>
  <c r="H542" i="5"/>
  <c r="H545" i="5"/>
  <c r="H11" i="5" a="1"/>
  <c r="H11" i="5" s="1"/>
  <c r="I8" i="5"/>
  <c r="H231" i="6"/>
  <c r="H236" i="6"/>
  <c r="H224" i="2" s="1"/>
  <c r="H235" i="6"/>
  <c r="H223" i="2" s="1"/>
  <c r="H225" i="6"/>
  <c r="H209" i="2" s="1"/>
  <c r="H202" i="6"/>
  <c r="I7" i="6"/>
  <c r="H282" i="6"/>
  <c r="H232" i="6"/>
  <c r="H194" i="6"/>
  <c r="H182" i="2" s="1"/>
  <c r="H218" i="6"/>
  <c r="H222" i="6"/>
  <c r="H226" i="6"/>
  <c r="H199" i="6"/>
  <c r="H229" i="6"/>
  <c r="H195" i="6"/>
  <c r="H183" i="2" s="1"/>
  <c r="H216" i="6"/>
  <c r="H213" i="6"/>
  <c r="H203" i="2" s="1"/>
  <c r="H234" i="6"/>
  <c r="H222" i="2" s="1"/>
  <c r="H219" i="6"/>
  <c r="H220" i="6"/>
  <c r="H197" i="6"/>
  <c r="H186" i="2" s="1"/>
  <c r="H196" i="6"/>
  <c r="H184" i="2" s="1"/>
  <c r="H23" i="6"/>
  <c r="H214" i="6"/>
  <c r="H202" i="2" s="1"/>
  <c r="H224" i="6"/>
  <c r="H212" i="2" s="1"/>
  <c r="H204" i="6"/>
  <c r="H192" i="2" s="1"/>
  <c r="H177" i="6"/>
  <c r="H237" i="6"/>
  <c r="H227" i="2" s="1"/>
  <c r="L328" i="5"/>
  <c r="L487" i="5"/>
  <c r="L492" i="5" s="1"/>
  <c r="K493" i="5"/>
  <c r="N401" i="5"/>
  <c r="N403" i="5" s="1"/>
  <c r="M319" i="5"/>
  <c r="G245" i="6"/>
  <c r="G246" i="6"/>
  <c r="K438" i="5"/>
  <c r="L313" i="5"/>
  <c r="K13" i="8"/>
  <c r="K14" i="8" s="1"/>
  <c r="CV14" i="8" s="1"/>
  <c r="K108" i="5"/>
  <c r="K75" i="5"/>
  <c r="C6" i="17" s="1"/>
  <c r="G207" i="5"/>
  <c r="G208" i="5"/>
  <c r="G243" i="6"/>
  <c r="G281" i="2"/>
  <c r="G187" i="2"/>
  <c r="O414" i="5"/>
  <c r="N425" i="5"/>
  <c r="F273" i="2"/>
  <c r="F282" i="2"/>
  <c r="G190" i="2"/>
  <c r="H551" i="5"/>
  <c r="G232" i="2"/>
  <c r="E218" i="2"/>
  <c r="N350" i="5"/>
  <c r="H173" i="6"/>
  <c r="E7" i="5"/>
  <c r="E5" i="8" s="1"/>
  <c r="K465" i="5"/>
  <c r="L466" i="5"/>
  <c r="K408" i="5"/>
  <c r="L320" i="5"/>
  <c r="M318" i="5"/>
  <c r="K199" i="5"/>
  <c r="L199" i="5"/>
  <c r="G226" i="2"/>
  <c r="H13" i="4"/>
  <c r="I3" i="4"/>
  <c r="H11" i="4"/>
  <c r="H5" i="4" a="1"/>
  <c r="H5" i="4" s="1"/>
  <c r="H6" i="4" a="1"/>
  <c r="H6" i="4" s="1"/>
  <c r="H7" i="4" a="1"/>
  <c r="H7" i="4" s="1"/>
  <c r="H10" i="4" s="1"/>
  <c r="E327" i="2"/>
  <c r="F24" i="8"/>
  <c r="F29" i="8" s="1"/>
  <c r="CQ29" i="8" s="1"/>
  <c r="F230" i="5"/>
  <c r="F231" i="5"/>
  <c r="F554" i="5"/>
  <c r="I44" i="5"/>
  <c r="I45" i="5" s="1"/>
  <c r="G242" i="6"/>
  <c r="F13" i="5"/>
  <c r="G149" i="2"/>
  <c r="G122" i="2"/>
  <c r="G244" i="6"/>
  <c r="K309" i="5"/>
  <c r="K435" i="5"/>
  <c r="K407" i="5"/>
  <c r="L310" i="5"/>
  <c r="U193" i="2"/>
  <c r="U227" i="2"/>
  <c r="U163" i="2"/>
  <c r="U286" i="2"/>
  <c r="U147" i="2"/>
  <c r="V329" i="2"/>
  <c r="V164" i="2"/>
  <c r="U164" i="2"/>
  <c r="U330" i="2"/>
  <c r="U157" i="2"/>
  <c r="V160" i="2"/>
  <c r="U205" i="2"/>
  <c r="T137" i="2"/>
  <c r="U173" i="2"/>
  <c r="V350" i="2"/>
  <c r="U154" i="2"/>
  <c r="U364" i="2"/>
  <c r="U378" i="2"/>
  <c r="U149" i="2"/>
  <c r="U194" i="2"/>
  <c r="T328" i="2"/>
  <c r="U184" i="2"/>
  <c r="T249" i="2"/>
  <c r="V173" i="2"/>
  <c r="U359" i="2"/>
  <c r="U255" i="2"/>
  <c r="U243" i="2"/>
  <c r="V288" i="2"/>
  <c r="V305" i="2"/>
  <c r="U207" i="2"/>
  <c r="U292" i="2"/>
  <c r="U354" i="2"/>
  <c r="U137" i="2"/>
  <c r="U365" i="2"/>
  <c r="U223" i="2"/>
  <c r="V291" i="2"/>
  <c r="U217" i="2"/>
  <c r="V337" i="2"/>
  <c r="T331" i="2"/>
  <c r="U215" i="2"/>
  <c r="S228" i="2"/>
  <c r="U170" i="2"/>
  <c r="U140" i="2"/>
  <c r="U189" i="2"/>
  <c r="U288" i="2"/>
  <c r="U153" i="2"/>
  <c r="U304" i="2"/>
  <c r="U151" i="2"/>
  <c r="V289" i="2"/>
  <c r="T314" i="2"/>
  <c r="T162" i="2"/>
  <c r="U155" i="2"/>
  <c r="U146" i="2"/>
  <c r="U357" i="2"/>
  <c r="V351" i="2"/>
  <c r="U379" i="2"/>
  <c r="U371" i="2"/>
  <c r="V243" i="2"/>
  <c r="V345" i="2"/>
  <c r="V348" i="2"/>
  <c r="U369" i="2"/>
  <c r="U270" i="2"/>
  <c r="V144" i="2"/>
  <c r="U152" i="2"/>
  <c r="U268" i="2"/>
  <c r="V372" i="2"/>
  <c r="V290" i="2"/>
  <c r="T334" i="2"/>
  <c r="U142" i="2"/>
  <c r="U257" i="2"/>
  <c r="U188" i="2"/>
  <c r="V368" i="2"/>
  <c r="U370" i="2"/>
  <c r="U158" i="2"/>
  <c r="U342" i="2"/>
  <c r="U144" i="2"/>
  <c r="T280" i="2"/>
  <c r="U125" i="2"/>
  <c r="T122" i="2"/>
  <c r="S218" i="2"/>
  <c r="V260" i="2"/>
  <c r="U206" i="2"/>
  <c r="U291" i="2"/>
  <c r="V342" i="2"/>
  <c r="V175" i="2"/>
  <c r="V343" i="2"/>
  <c r="U368" i="2"/>
  <c r="V357" i="2"/>
  <c r="U222" i="2"/>
  <c r="U203" i="2"/>
  <c r="U348" i="2"/>
  <c r="V352" i="2"/>
  <c r="U174" i="2"/>
  <c r="U186" i="2"/>
  <c r="S197" i="2"/>
  <c r="U175" i="2"/>
  <c r="U344" i="2"/>
  <c r="U160" i="2"/>
  <c r="U122" i="2"/>
  <c r="U141" i="2"/>
  <c r="U196" i="2"/>
  <c r="U182" i="2"/>
  <c r="T218" i="2"/>
  <c r="V214" i="2"/>
  <c r="V150" i="2"/>
  <c r="S336" i="2"/>
  <c r="U161" i="2"/>
  <c r="S327" i="2"/>
  <c r="V210" i="2"/>
  <c r="U355" i="2"/>
  <c r="U372" i="2"/>
  <c r="U343" i="2"/>
  <c r="U209" i="2"/>
  <c r="U183" i="2"/>
  <c r="U285" i="2"/>
  <c r="T228" i="2"/>
  <c r="V367" i="2"/>
  <c r="U353" i="2"/>
  <c r="U345" i="2"/>
  <c r="V255" i="2"/>
  <c r="U210" i="2"/>
  <c r="U303" i="2"/>
  <c r="U212" i="2"/>
  <c r="T336" i="2"/>
  <c r="U192" i="2"/>
  <c r="T327" i="2"/>
  <c r="U287" i="2"/>
  <c r="U382" i="2"/>
  <c r="U171" i="2"/>
  <c r="U281" i="2"/>
  <c r="T332" i="2"/>
  <c r="U226" i="2"/>
  <c r="U190" i="2"/>
  <c r="V354" i="2"/>
  <c r="U145" i="2"/>
  <c r="V152" i="2"/>
  <c r="T135" i="2"/>
  <c r="U366" i="2"/>
  <c r="U185" i="2"/>
  <c r="V347" i="2"/>
  <c r="U224" i="2"/>
  <c r="S334" i="2"/>
  <c r="U232" i="2"/>
  <c r="U148" i="2"/>
  <c r="T377" i="2"/>
  <c r="U297" i="2"/>
  <c r="U302" i="2"/>
  <c r="U159" i="2"/>
  <c r="U373" i="2"/>
  <c r="U211" i="2"/>
  <c r="U380" i="2"/>
  <c r="T315" i="2"/>
  <c r="U213" i="2"/>
  <c r="U191" i="2"/>
  <c r="U204" i="2"/>
  <c r="U352" i="2"/>
  <c r="U347" i="2"/>
  <c r="V151" i="2"/>
  <c r="U358" i="2"/>
  <c r="U346" i="2"/>
  <c r="U290" i="2"/>
  <c r="U337" i="2"/>
  <c r="U367" i="2"/>
  <c r="U356" i="2"/>
  <c r="U150" i="2"/>
  <c r="V292" i="2"/>
  <c r="U351" i="2"/>
  <c r="U280" i="2"/>
  <c r="T197" i="2"/>
  <c r="U143" i="2"/>
  <c r="U187" i="2"/>
  <c r="U202" i="2"/>
  <c r="H227" i="6" l="1"/>
  <c r="H213" i="2" s="1"/>
  <c r="H203" i="6"/>
  <c r="H295" i="6"/>
  <c r="H228" i="6"/>
  <c r="H285" i="6"/>
  <c r="H298" i="6"/>
  <c r="H286" i="2" s="1"/>
  <c r="H205" i="6"/>
  <c r="H193" i="2" s="1"/>
  <c r="H206" i="6"/>
  <c r="H191" i="2" s="1"/>
  <c r="H302" i="6"/>
  <c r="H18" i="2" s="1"/>
  <c r="H299" i="6"/>
  <c r="H210" i="6"/>
  <c r="H12" i="5" a="1"/>
  <c r="H12" i="5" s="1"/>
  <c r="H14" i="5" s="1"/>
  <c r="H209" i="6"/>
  <c r="H215" i="6"/>
  <c r="H204" i="2" s="1"/>
  <c r="H232" i="2" s="1"/>
  <c r="H15" i="5"/>
  <c r="H217" i="6"/>
  <c r="H207" i="2" s="1"/>
  <c r="H239" i="6"/>
  <c r="H17" i="5"/>
  <c r="H473" i="5" s="1"/>
  <c r="H10" i="5" a="1"/>
  <c r="H10" i="5" s="1"/>
  <c r="G13" i="5"/>
  <c r="G7" i="5" s="1"/>
  <c r="G5" i="8" s="1"/>
  <c r="G20" i="8" s="1"/>
  <c r="H201" i="6"/>
  <c r="G9" i="4"/>
  <c r="H114" i="2"/>
  <c r="H3" i="2" s="1"/>
  <c r="E325" i="2"/>
  <c r="F278" i="2"/>
  <c r="E326" i="2"/>
  <c r="Q271" i="6"/>
  <c r="J271" i="6"/>
  <c r="K15" i="1" s="1"/>
  <c r="I271" i="6"/>
  <c r="J15" i="1" s="1"/>
  <c r="O271" i="6"/>
  <c r="P271" i="6"/>
  <c r="O351" i="5"/>
  <c r="P351" i="5" s="1"/>
  <c r="Q351" i="5" s="1"/>
  <c r="R351" i="5" s="1"/>
  <c r="S351" i="5" s="1"/>
  <c r="T351" i="5" s="1"/>
  <c r="U351" i="5" s="1"/>
  <c r="V351" i="5" s="1"/>
  <c r="W351" i="5" s="1"/>
  <c r="X351" i="5" s="1"/>
  <c r="Y351" i="5" s="1"/>
  <c r="Z351" i="5" s="1"/>
  <c r="AA351" i="5" s="1"/>
  <c r="AB351" i="5" s="1"/>
  <c r="AC351" i="5" s="1"/>
  <c r="AD351" i="5" s="1"/>
  <c r="AE351" i="5" s="1"/>
  <c r="AF351" i="5" s="1"/>
  <c r="AG351" i="5" s="1"/>
  <c r="AH351" i="5" s="1"/>
  <c r="AI351" i="5" s="1"/>
  <c r="AJ351" i="5" s="1"/>
  <c r="AK351" i="5" s="1"/>
  <c r="AL351" i="5" s="1"/>
  <c r="K208" i="5"/>
  <c r="K230" i="5"/>
  <c r="F250" i="2"/>
  <c r="K271" i="6"/>
  <c r="L15" i="1" s="1"/>
  <c r="I115" i="2"/>
  <c r="N271" i="6"/>
  <c r="M271" i="6"/>
  <c r="N15" i="1" s="1"/>
  <c r="K273" i="6"/>
  <c r="L16" i="1" s="1"/>
  <c r="F276" i="2"/>
  <c r="G8" i="4"/>
  <c r="G2" i="4" s="1"/>
  <c r="L459" i="5"/>
  <c r="L152" i="5" s="1"/>
  <c r="L154" i="5" s="1"/>
  <c r="L271" i="6"/>
  <c r="M15" i="1" s="1"/>
  <c r="P19" i="16"/>
  <c r="DA19" i="16" s="1"/>
  <c r="P20" i="16"/>
  <c r="DA20" i="16" s="1"/>
  <c r="P11" i="16"/>
  <c r="DA11" i="16" s="1"/>
  <c r="H271" i="6"/>
  <c r="I273" i="6"/>
  <c r="J16" i="1" s="1"/>
  <c r="P273" i="6"/>
  <c r="M273" i="6"/>
  <c r="N16" i="1" s="1"/>
  <c r="I272" i="6"/>
  <c r="H272" i="6"/>
  <c r="J272" i="6"/>
  <c r="N273" i="6"/>
  <c r="L272" i="6"/>
  <c r="M272" i="6"/>
  <c r="N272" i="6"/>
  <c r="K272" i="6"/>
  <c r="P272" i="6"/>
  <c r="Q272" i="6"/>
  <c r="L273" i="6"/>
  <c r="M16" i="1" s="1"/>
  <c r="H273" i="6"/>
  <c r="J273" i="6"/>
  <c r="K16" i="1" s="1"/>
  <c r="O273" i="6"/>
  <c r="Q273" i="6"/>
  <c r="O272" i="6"/>
  <c r="K429" i="5"/>
  <c r="G3" i="2"/>
  <c r="E322" i="2"/>
  <c r="E234" i="2"/>
  <c r="E233" i="2"/>
  <c r="F326" i="2"/>
  <c r="E237" i="2"/>
  <c r="H391" i="5"/>
  <c r="H392" i="5" s="1"/>
  <c r="H393" i="5" s="1"/>
  <c r="M14" i="8"/>
  <c r="CX14" i="8" s="1"/>
  <c r="E198" i="2"/>
  <c r="F198" i="2"/>
  <c r="F237" i="2"/>
  <c r="F325" i="2"/>
  <c r="M108" i="5"/>
  <c r="M110" i="5" s="1"/>
  <c r="M112" i="5" s="1"/>
  <c r="M142" i="5" s="1"/>
  <c r="M167" i="5" s="1"/>
  <c r="Q64" i="5"/>
  <c r="Q71" i="5" s="1"/>
  <c r="Q109" i="5" s="1"/>
  <c r="O189" i="5"/>
  <c r="O198" i="5" s="1"/>
  <c r="F233" i="2"/>
  <c r="O201" i="5"/>
  <c r="O105" i="5"/>
  <c r="H217" i="2"/>
  <c r="F165" i="2"/>
  <c r="F236" i="2"/>
  <c r="E323" i="2"/>
  <c r="F306" i="2"/>
  <c r="E236" i="2"/>
  <c r="G208" i="2"/>
  <c r="G334" i="2"/>
  <c r="F134" i="2" a="1"/>
  <c r="F134" i="2" s="1"/>
  <c r="I252" i="5"/>
  <c r="I253" i="5" s="1"/>
  <c r="F234" i="2"/>
  <c r="F308" i="2"/>
  <c r="O71" i="5"/>
  <c r="O109" i="5" s="1"/>
  <c r="O68" i="5"/>
  <c r="O13" i="8" s="1"/>
  <c r="O12" i="8"/>
  <c r="M75" i="5"/>
  <c r="M186" i="5" s="1"/>
  <c r="M197" i="5" s="1"/>
  <c r="G381" i="2"/>
  <c r="F207" i="5"/>
  <c r="L325" i="5"/>
  <c r="G216" i="2"/>
  <c r="F229" i="2"/>
  <c r="H190" i="2"/>
  <c r="F231" i="2"/>
  <c r="K409" i="5"/>
  <c r="F219" i="2"/>
  <c r="M453" i="5"/>
  <c r="M455" i="5" s="1"/>
  <c r="M448" i="5" s="1"/>
  <c r="M450" i="5" s="1"/>
  <c r="M296" i="5" s="1"/>
  <c r="M457" i="5"/>
  <c r="M458" i="5" s="1"/>
  <c r="M459" i="5" s="1"/>
  <c r="M152" i="5" s="1"/>
  <c r="M154" i="5" s="1"/>
  <c r="F323" i="2"/>
  <c r="H552" i="5"/>
  <c r="H554" i="5" s="1"/>
  <c r="H252" i="5"/>
  <c r="H253" i="5" s="1"/>
  <c r="H226" i="2"/>
  <c r="H207" i="5"/>
  <c r="H208" i="5"/>
  <c r="H246" i="6"/>
  <c r="O350" i="5"/>
  <c r="H281" i="2"/>
  <c r="H187" i="2"/>
  <c r="G228" i="2"/>
  <c r="E20" i="8"/>
  <c r="I542" i="5"/>
  <c r="I545" i="5"/>
  <c r="I11" i="5" a="1"/>
  <c r="I11" i="5" s="1"/>
  <c r="I10" i="5" a="1"/>
  <c r="I10" i="5" s="1"/>
  <c r="I17" i="5"/>
  <c r="I473" i="5" s="1"/>
  <c r="I15" i="5"/>
  <c r="J8" i="5"/>
  <c r="I12" i="5" a="1"/>
  <c r="I12" i="5" s="1"/>
  <c r="I14" i="5" s="1"/>
  <c r="D512" i="5"/>
  <c r="O425" i="5"/>
  <c r="P414" i="5"/>
  <c r="M487" i="5"/>
  <c r="M492" i="5" s="1"/>
  <c r="L493" i="5"/>
  <c r="J7" i="6"/>
  <c r="O401" i="5"/>
  <c r="O403" i="5" s="1"/>
  <c r="N319" i="5"/>
  <c r="P191" i="5"/>
  <c r="N199" i="5"/>
  <c r="E219" i="2"/>
  <c r="H196" i="2"/>
  <c r="K15" i="8"/>
  <c r="K76" i="5"/>
  <c r="C7" i="17" s="1"/>
  <c r="K219" i="5"/>
  <c r="K186" i="5"/>
  <c r="K197" i="5" s="1"/>
  <c r="K203" i="5" s="1"/>
  <c r="M328" i="5"/>
  <c r="H280" i="2"/>
  <c r="K110" i="5"/>
  <c r="K112" i="5" s="1"/>
  <c r="K142" i="5" s="1"/>
  <c r="K167" i="5" s="1"/>
  <c r="K106" i="5"/>
  <c r="K133" i="5" s="1"/>
  <c r="H242" i="6"/>
  <c r="N318" i="5"/>
  <c r="L435" i="5"/>
  <c r="L407" i="5"/>
  <c r="M310" i="5"/>
  <c r="H215" i="2"/>
  <c r="G134" i="2" a="1"/>
  <c r="G134" i="2" s="1"/>
  <c r="M320" i="5"/>
  <c r="M325" i="5" s="1"/>
  <c r="L408" i="5"/>
  <c r="L438" i="5"/>
  <c r="M313" i="5"/>
  <c r="I294" i="6"/>
  <c r="H296" i="6"/>
  <c r="H287" i="2" s="1"/>
  <c r="H285" i="2"/>
  <c r="G314" i="2"/>
  <c r="G156" i="2"/>
  <c r="G123" i="2"/>
  <c r="F7" i="5"/>
  <c r="F5" i="8" s="1"/>
  <c r="F20" i="8" s="1"/>
  <c r="G327" i="2"/>
  <c r="G336" i="2"/>
  <c r="H245" i="6"/>
  <c r="L465" i="5"/>
  <c r="M466" i="5"/>
  <c r="H9" i="4"/>
  <c r="K478" i="5"/>
  <c r="K479" i="5" s="1"/>
  <c r="K497" i="5" s="1"/>
  <c r="K483" i="5"/>
  <c r="K484" i="5" s="1"/>
  <c r="K499" i="5" s="1"/>
  <c r="H8" i="4"/>
  <c r="H2" i="4" s="1"/>
  <c r="E229" i="2"/>
  <c r="G335" i="2"/>
  <c r="L309" i="5"/>
  <c r="L429" i="5" s="1"/>
  <c r="G195" i="2"/>
  <c r="H241" i="6"/>
  <c r="I5" i="4" a="1"/>
  <c r="I5" i="4" s="1"/>
  <c r="J3" i="4"/>
  <c r="I11" i="4"/>
  <c r="I7" i="4" a="1"/>
  <c r="I7" i="4" s="1"/>
  <c r="I10" i="4" s="1"/>
  <c r="I13" i="4"/>
  <c r="I6" i="4" a="1"/>
  <c r="I6" i="4" s="1"/>
  <c r="M199" i="5"/>
  <c r="O191" i="5"/>
  <c r="E231" i="2"/>
  <c r="H185" i="6"/>
  <c r="I173" i="6"/>
  <c r="U156" i="2"/>
  <c r="S325" i="2"/>
  <c r="T278" i="2"/>
  <c r="V184" i="2"/>
  <c r="V268" i="2"/>
  <c r="U336" i="2"/>
  <c r="V364" i="2"/>
  <c r="W373" i="2"/>
  <c r="W151" i="2"/>
  <c r="W329" i="2"/>
  <c r="V166" i="2"/>
  <c r="W348" i="2"/>
  <c r="W371" i="2"/>
  <c r="W366" i="2"/>
  <c r="T308" i="2"/>
  <c r="W367" i="2"/>
  <c r="W185" i="2"/>
  <c r="W255" i="2"/>
  <c r="V257" i="2"/>
  <c r="W164" i="2"/>
  <c r="W188" i="2"/>
  <c r="V280" i="2"/>
  <c r="W365" i="2"/>
  <c r="W166" i="2"/>
  <c r="U334" i="2"/>
  <c r="W211" i="2"/>
  <c r="V182" i="2"/>
  <c r="U195" i="2"/>
  <c r="T276" i="2"/>
  <c r="V378" i="2"/>
  <c r="V373" i="2"/>
  <c r="V148" i="2"/>
  <c r="W144" i="2"/>
  <c r="W350" i="2"/>
  <c r="W243" i="2"/>
  <c r="W210" i="2"/>
  <c r="U228" i="2"/>
  <c r="S233" i="2"/>
  <c r="W372" i="2"/>
  <c r="W205" i="2"/>
  <c r="V366" i="2"/>
  <c r="W292" i="2"/>
  <c r="V365" i="2"/>
  <c r="V304" i="2"/>
  <c r="V225" i="2"/>
  <c r="V191" i="2"/>
  <c r="T306" i="2"/>
  <c r="V355" i="2"/>
  <c r="W152" i="2"/>
  <c r="V190" i="2"/>
  <c r="W257" i="2"/>
  <c r="V183" i="2"/>
  <c r="V346" i="2"/>
  <c r="V224" i="2"/>
  <c r="V359" i="2"/>
  <c r="T325" i="2"/>
  <c r="U123" i="2"/>
  <c r="U381" i="2"/>
  <c r="W145" i="2"/>
  <c r="W170" i="2"/>
  <c r="W354" i="2"/>
  <c r="W347" i="2"/>
  <c r="V356" i="2"/>
  <c r="W155" i="2"/>
  <c r="V209" i="2"/>
  <c r="V222" i="2"/>
  <c r="V223" i="2"/>
  <c r="S236" i="2"/>
  <c r="W356" i="2"/>
  <c r="V213" i="2"/>
  <c r="W173" i="2"/>
  <c r="W206" i="2"/>
  <c r="T134" i="2"/>
  <c r="U208" i="2"/>
  <c r="T234" i="2"/>
  <c r="S322" i="2"/>
  <c r="V226" i="2"/>
  <c r="V185" i="2"/>
  <c r="W150" i="2"/>
  <c r="V145" i="2"/>
  <c r="W357" i="2"/>
  <c r="V353" i="2"/>
  <c r="V206" i="2"/>
  <c r="U335" i="2"/>
  <c r="V205" i="2"/>
  <c r="T231" i="2"/>
  <c r="U314" i="2"/>
  <c r="S234" i="2"/>
  <c r="V186" i="2"/>
  <c r="V270" i="2"/>
  <c r="V207" i="2"/>
  <c r="V212" i="2"/>
  <c r="V285" i="2"/>
  <c r="T326" i="2"/>
  <c r="S326" i="2"/>
  <c r="W370" i="2"/>
  <c r="V161" i="2"/>
  <c r="W353" i="2"/>
  <c r="V168" i="2"/>
  <c r="W161" i="2"/>
  <c r="W345" i="2"/>
  <c r="V232" i="2"/>
  <c r="T323" i="2"/>
  <c r="S231" i="2"/>
  <c r="S237" i="2"/>
  <c r="V344" i="2"/>
  <c r="V146" i="2"/>
  <c r="V153" i="2"/>
  <c r="W359" i="2"/>
  <c r="V369" i="2"/>
  <c r="W369" i="2"/>
  <c r="T165" i="2"/>
  <c r="V192" i="2"/>
  <c r="V215" i="2"/>
  <c r="V286" i="2"/>
  <c r="T236" i="2"/>
  <c r="V188" i="2"/>
  <c r="W214" i="2"/>
  <c r="V155" i="2"/>
  <c r="W260" i="2"/>
  <c r="W352" i="2"/>
  <c r="W344" i="2"/>
  <c r="W268" i="2"/>
  <c r="V170" i="2"/>
  <c r="S323" i="2"/>
  <c r="U134" i="2"/>
  <c r="U327" i="2"/>
  <c r="T233" i="2"/>
  <c r="V287" i="2"/>
  <c r="U216" i="2"/>
  <c r="W168" i="2"/>
  <c r="W368" i="2"/>
  <c r="W153" i="2"/>
  <c r="W160" i="2"/>
  <c r="W343" i="2"/>
  <c r="V371" i="2"/>
  <c r="W288" i="2"/>
  <c r="W355" i="2"/>
  <c r="V204" i="2"/>
  <c r="W148" i="2"/>
  <c r="V196" i="2"/>
  <c r="W291" i="2"/>
  <c r="W175" i="2"/>
  <c r="V358" i="2"/>
  <c r="W342" i="2"/>
  <c r="W305" i="2"/>
  <c r="V211" i="2"/>
  <c r="V189" i="2"/>
  <c r="T237" i="2"/>
  <c r="V281" i="2"/>
  <c r="V227" i="2"/>
  <c r="V203" i="2"/>
  <c r="W146" i="2"/>
  <c r="W337" i="2"/>
  <c r="V370" i="2"/>
  <c r="W225" i="2"/>
  <c r="V330" i="2"/>
  <c r="W358" i="2"/>
  <c r="V187" i="2"/>
  <c r="V217" i="2"/>
  <c r="W289" i="2"/>
  <c r="W270" i="2"/>
  <c r="W346" i="2"/>
  <c r="W330" i="2"/>
  <c r="W290" i="2"/>
  <c r="W304" i="2"/>
  <c r="W364" i="2"/>
  <c r="V202" i="2"/>
  <c r="W351" i="2"/>
  <c r="V193" i="2"/>
  <c r="H382" i="2" l="1"/>
  <c r="F307" i="2"/>
  <c r="I114" i="2"/>
  <c r="H243" i="6"/>
  <c r="H13" i="5"/>
  <c r="H244" i="6"/>
  <c r="J471" i="5"/>
  <c r="J472" i="5" s="1"/>
  <c r="I201" i="6"/>
  <c r="J128" i="5"/>
  <c r="J158" i="5"/>
  <c r="J115" i="2"/>
  <c r="H194" i="2"/>
  <c r="H338" i="2"/>
  <c r="I23" i="6"/>
  <c r="I207" i="6"/>
  <c r="I219" i="6"/>
  <c r="O108" i="5"/>
  <c r="O110" i="5" s="1"/>
  <c r="O112" i="5" s="1"/>
  <c r="F309" i="2"/>
  <c r="O75" i="5"/>
  <c r="O208" i="5" s="1"/>
  <c r="F319" i="2"/>
  <c r="O14" i="8"/>
  <c r="CZ14" i="8" s="1"/>
  <c r="Q194" i="5"/>
  <c r="Q200" i="5" s="1"/>
  <c r="S64" i="5"/>
  <c r="S105" i="5" s="1"/>
  <c r="Q105" i="5"/>
  <c r="Q68" i="5"/>
  <c r="Q108" i="5" s="1"/>
  <c r="Q201" i="5"/>
  <c r="Q12" i="8"/>
  <c r="Q189" i="5"/>
  <c r="Q198" i="5" s="1"/>
  <c r="M106" i="5"/>
  <c r="M133" i="5" s="1"/>
  <c r="M76" i="5"/>
  <c r="M226" i="5"/>
  <c r="M234" i="5" s="1"/>
  <c r="M172" i="5" s="1"/>
  <c r="M178" i="5" s="1"/>
  <c r="M23" i="8"/>
  <c r="M15" i="8"/>
  <c r="M16" i="8" s="1"/>
  <c r="CX16" i="8" s="1"/>
  <c r="M208" i="5"/>
  <c r="G218" i="2"/>
  <c r="F167" i="2"/>
  <c r="N457" i="5"/>
  <c r="N458" i="5" s="1"/>
  <c r="N459" i="5" s="1"/>
  <c r="N152" i="5" s="1"/>
  <c r="N154" i="5" s="1"/>
  <c r="N453" i="5"/>
  <c r="O457" i="5" s="1"/>
  <c r="O458" i="5" s="1"/>
  <c r="I234" i="6"/>
  <c r="I222" i="2" s="1"/>
  <c r="I216" i="6"/>
  <c r="I203" i="6"/>
  <c r="I226" i="6"/>
  <c r="I218" i="6"/>
  <c r="I215" i="6"/>
  <c r="I204" i="2" s="1"/>
  <c r="I197" i="6"/>
  <c r="I186" i="2" s="1"/>
  <c r="I228" i="6"/>
  <c r="L409" i="5"/>
  <c r="H208" i="2"/>
  <c r="I229" i="6"/>
  <c r="G325" i="2"/>
  <c r="K496" i="5"/>
  <c r="K500" i="5" s="1"/>
  <c r="I298" i="6"/>
  <c r="I286" i="2" s="1"/>
  <c r="I231" i="6"/>
  <c r="I217" i="6"/>
  <c r="AD29" i="8"/>
  <c r="AF29" i="8" s="1"/>
  <c r="AD28" i="8"/>
  <c r="AF28" i="8" s="1"/>
  <c r="I202" i="6"/>
  <c r="I295" i="6"/>
  <c r="I296" i="6" s="1"/>
  <c r="I287" i="2" s="1"/>
  <c r="I225" i="6"/>
  <c r="I209" i="2" s="1"/>
  <c r="I227" i="6"/>
  <c r="I213" i="2" s="1"/>
  <c r="I9" i="4"/>
  <c r="I220" i="6"/>
  <c r="I302" i="6"/>
  <c r="I18" i="2" s="1"/>
  <c r="I204" i="6"/>
  <c r="I192" i="2" s="1"/>
  <c r="H228" i="2"/>
  <c r="I224" i="6"/>
  <c r="I212" i="2" s="1"/>
  <c r="M203" i="5"/>
  <c r="M211" i="5" s="1"/>
  <c r="H405" i="5"/>
  <c r="H411" i="5" s="1"/>
  <c r="I391" i="5"/>
  <c r="M7" i="8"/>
  <c r="CX7" i="8" s="1"/>
  <c r="M371" i="5"/>
  <c r="M372" i="5" s="1"/>
  <c r="M307" i="5" s="1"/>
  <c r="M366" i="5"/>
  <c r="M367" i="5" s="1"/>
  <c r="M291" i="5" s="1"/>
  <c r="M361" i="5"/>
  <c r="M362" i="5" s="1"/>
  <c r="M238" i="5"/>
  <c r="M116" i="5" s="1"/>
  <c r="M134" i="5"/>
  <c r="M353" i="5"/>
  <c r="G233" i="2"/>
  <c r="G234" i="2"/>
  <c r="G308" i="2"/>
  <c r="G237" i="2"/>
  <c r="H216" i="2"/>
  <c r="G326" i="2"/>
  <c r="H381" i="2"/>
  <c r="AD12" i="8"/>
  <c r="AF12" i="8" s="1"/>
  <c r="O318" i="5"/>
  <c r="AD27" i="8"/>
  <c r="AF27" i="8" s="1"/>
  <c r="E319" i="2"/>
  <c r="N328" i="5"/>
  <c r="K7" i="6"/>
  <c r="AD8" i="8"/>
  <c r="AF8" i="8" s="1"/>
  <c r="I280" i="2"/>
  <c r="K115" i="2"/>
  <c r="Q191" i="5"/>
  <c r="O199" i="5"/>
  <c r="K22" i="8"/>
  <c r="K27" i="8" s="1"/>
  <c r="CV27" i="8" s="1"/>
  <c r="K210" i="5"/>
  <c r="K113" i="5"/>
  <c r="K115" i="5" s="1"/>
  <c r="K211" i="5"/>
  <c r="AD9" i="8"/>
  <c r="AF9" i="8" s="1"/>
  <c r="M309" i="5"/>
  <c r="M429" i="5" s="1"/>
  <c r="R191" i="5"/>
  <c r="P199" i="5"/>
  <c r="AD15" i="8"/>
  <c r="AF15" i="8" s="1"/>
  <c r="AD7" i="8"/>
  <c r="AF7" i="8" s="1"/>
  <c r="M465" i="5"/>
  <c r="N466" i="5"/>
  <c r="G135" i="2" a="1"/>
  <c r="G135" i="2" s="1"/>
  <c r="K28" i="8"/>
  <c r="CV28" i="8" s="1"/>
  <c r="K16" i="8"/>
  <c r="CV16" i="8" s="1"/>
  <c r="K29" i="8"/>
  <c r="CV29" i="8" s="1"/>
  <c r="P401" i="5"/>
  <c r="P403" i="5" s="1"/>
  <c r="O319" i="5"/>
  <c r="AD24" i="8"/>
  <c r="AF24" i="8" s="1"/>
  <c r="P350" i="5"/>
  <c r="L483" i="5"/>
  <c r="L484" i="5" s="1"/>
  <c r="L499" i="5" s="1"/>
  <c r="L478" i="5"/>
  <c r="L479" i="5" s="1"/>
  <c r="L497" i="5" s="1"/>
  <c r="G377" i="2"/>
  <c r="G328" i="2"/>
  <c r="G315" i="2"/>
  <c r="G162" i="2"/>
  <c r="M438" i="5"/>
  <c r="N313" i="5"/>
  <c r="G197" i="2"/>
  <c r="J545" i="5"/>
  <c r="J542" i="5"/>
  <c r="J10" i="5" a="1"/>
  <c r="J10" i="5" s="1"/>
  <c r="K8" i="5"/>
  <c r="J17" i="5"/>
  <c r="J473" i="5" s="1"/>
  <c r="J15" i="5"/>
  <c r="J12" i="5" a="1"/>
  <c r="J12" i="5" s="1"/>
  <c r="J14" i="5" s="1"/>
  <c r="J11" i="5" a="1"/>
  <c r="J11" i="5" s="1"/>
  <c r="K7" i="8"/>
  <c r="CV7" i="8" s="1"/>
  <c r="K371" i="5"/>
  <c r="K372" i="5" s="1"/>
  <c r="K307" i="5" s="1"/>
  <c r="K366" i="5"/>
  <c r="K367" i="5" s="1"/>
  <c r="K291" i="5" s="1"/>
  <c r="K361" i="5"/>
  <c r="K362" i="5" s="1"/>
  <c r="K238" i="5"/>
  <c r="K116" i="5" s="1"/>
  <c r="K134" i="5"/>
  <c r="K353" i="5"/>
  <c r="AD22" i="8"/>
  <c r="AF22" i="8" s="1"/>
  <c r="J5" i="4" a="1"/>
  <c r="J5" i="4" s="1"/>
  <c r="K3" i="4"/>
  <c r="J11" i="4"/>
  <c r="J7" i="4" a="1"/>
  <c r="J7" i="4" s="1"/>
  <c r="J10" i="4" s="1"/>
  <c r="J6" i="4" a="1"/>
  <c r="J6" i="4" s="1"/>
  <c r="J13" i="4"/>
  <c r="M435" i="5"/>
  <c r="N310" i="5"/>
  <c r="M407" i="5"/>
  <c r="AD14" i="8"/>
  <c r="AF14" i="8" s="1"/>
  <c r="N320" i="5"/>
  <c r="N325" i="5" s="1"/>
  <c r="M408" i="5"/>
  <c r="H7" i="5"/>
  <c r="H5" i="8" s="1"/>
  <c r="H20" i="8" s="1"/>
  <c r="M493" i="5"/>
  <c r="N487" i="5"/>
  <c r="N492" i="5" s="1"/>
  <c r="AD13" i="8"/>
  <c r="AF13" i="8" s="1"/>
  <c r="AD23" i="8"/>
  <c r="AF23" i="8" s="1"/>
  <c r="I8" i="4"/>
  <c r="I2" i="4" s="1"/>
  <c r="I338" i="2"/>
  <c r="I3" i="2"/>
  <c r="I237" i="6"/>
  <c r="I227" i="2" s="1"/>
  <c r="I299" i="6"/>
  <c r="I206" i="6"/>
  <c r="I191" i="2" s="1"/>
  <c r="P425" i="5"/>
  <c r="Q414" i="5"/>
  <c r="I13" i="5"/>
  <c r="AD16" i="8"/>
  <c r="AF16" i="8" s="1"/>
  <c r="U377" i="2"/>
  <c r="U218" i="2"/>
  <c r="X268" i="2"/>
  <c r="X145" i="2"/>
  <c r="X146" i="2"/>
  <c r="X175" i="2"/>
  <c r="X357" i="2"/>
  <c r="X152" i="2"/>
  <c r="X364" i="2"/>
  <c r="X369" i="2"/>
  <c r="X151" i="2"/>
  <c r="X358" i="2"/>
  <c r="X243" i="2"/>
  <c r="X368" i="2"/>
  <c r="U315" i="2"/>
  <c r="X329" i="2"/>
  <c r="X337" i="2"/>
  <c r="X351" i="2"/>
  <c r="X160" i="2"/>
  <c r="X144" i="2"/>
  <c r="W378" i="2"/>
  <c r="V381" i="2"/>
  <c r="X225" i="2"/>
  <c r="X359" i="2"/>
  <c r="U308" i="2"/>
  <c r="X257" i="2"/>
  <c r="W213" i="2"/>
  <c r="T309" i="2"/>
  <c r="X155" i="2"/>
  <c r="V382" i="2"/>
  <c r="V194" i="2"/>
  <c r="X188" i="2"/>
  <c r="X365" i="2"/>
  <c r="X347" i="2"/>
  <c r="X353" i="2"/>
  <c r="V208" i="2"/>
  <c r="S319" i="2"/>
  <c r="X346" i="2"/>
  <c r="X211" i="2"/>
  <c r="X148" i="2"/>
  <c r="X345" i="2"/>
  <c r="X150" i="2"/>
  <c r="X289" i="2"/>
  <c r="X290" i="2"/>
  <c r="X291" i="2"/>
  <c r="U237" i="2"/>
  <c r="W280" i="2"/>
  <c r="X260" i="2"/>
  <c r="X350" i="2"/>
  <c r="U328" i="2"/>
  <c r="W286" i="2"/>
  <c r="X343" i="2"/>
  <c r="U325" i="2"/>
  <c r="W186" i="2"/>
  <c r="X342" i="2"/>
  <c r="W287" i="2"/>
  <c r="X168" i="2"/>
  <c r="V228" i="2"/>
  <c r="X153" i="2"/>
  <c r="X170" i="2"/>
  <c r="X164" i="2"/>
  <c r="X161" i="2"/>
  <c r="X255" i="2"/>
  <c r="U162" i="2"/>
  <c r="X173" i="2"/>
  <c r="X214" i="2"/>
  <c r="X354" i="2"/>
  <c r="X206" i="2"/>
  <c r="X305" i="2"/>
  <c r="U326" i="2"/>
  <c r="W204" i="2"/>
  <c r="T307" i="2"/>
  <c r="V216" i="2"/>
  <c r="X288" i="2"/>
  <c r="X292" i="2"/>
  <c r="W189" i="2"/>
  <c r="X370" i="2"/>
  <c r="W227" i="2"/>
  <c r="W222" i="2"/>
  <c r="X366" i="2"/>
  <c r="X352" i="2"/>
  <c r="X356" i="2"/>
  <c r="X330" i="2"/>
  <c r="U233" i="2"/>
  <c r="W212" i="2"/>
  <c r="X355" i="2"/>
  <c r="X348" i="2"/>
  <c r="X166" i="2"/>
  <c r="U197" i="2"/>
  <c r="W192" i="2"/>
  <c r="U234" i="2"/>
  <c r="W191" i="2"/>
  <c r="X371" i="2"/>
  <c r="X344" i="2"/>
  <c r="X270" i="2"/>
  <c r="X185" i="2"/>
  <c r="X372" i="2"/>
  <c r="X210" i="2"/>
  <c r="U135" i="2"/>
  <c r="T167" i="2"/>
  <c r="T319" i="2"/>
  <c r="X373" i="2"/>
  <c r="X367" i="2"/>
  <c r="X304" i="2"/>
  <c r="W209" i="2"/>
  <c r="X205" i="2"/>
  <c r="H195" i="2" l="1"/>
  <c r="I194" i="2"/>
  <c r="I380" i="2" s="1"/>
  <c r="M24" i="8"/>
  <c r="M29" i="8" s="1"/>
  <c r="CX29" i="8" s="1"/>
  <c r="J114" i="2"/>
  <c r="J338" i="2" s="1"/>
  <c r="O15" i="8"/>
  <c r="O16" i="8" s="1"/>
  <c r="CZ16" i="8" s="1"/>
  <c r="I414" i="5"/>
  <c r="I425" i="5" s="1"/>
  <c r="O353" i="5"/>
  <c r="O346" i="5" s="1"/>
  <c r="O347" i="5" s="1"/>
  <c r="O142" i="5"/>
  <c r="O167" i="5" s="1"/>
  <c r="H380" i="2"/>
  <c r="O76" i="5"/>
  <c r="O186" i="5"/>
  <c r="O197" i="5" s="1"/>
  <c r="O203" i="5" s="1"/>
  <c r="O217" i="5"/>
  <c r="O227" i="5" s="1"/>
  <c r="O226" i="5"/>
  <c r="O234" i="5" s="1"/>
  <c r="O172" i="5" s="1"/>
  <c r="O178" i="5" s="1"/>
  <c r="M28" i="8"/>
  <c r="CX28" i="8" s="1"/>
  <c r="O106" i="5"/>
  <c r="O133" i="5" s="1"/>
  <c r="M227" i="5"/>
  <c r="M229" i="5" s="1"/>
  <c r="M117" i="5" s="1"/>
  <c r="M218" i="5"/>
  <c r="S12" i="8"/>
  <c r="S71" i="5"/>
  <c r="S109" i="5" s="1"/>
  <c r="S194" i="5"/>
  <c r="S200" i="5" s="1"/>
  <c r="S189" i="5"/>
  <c r="S198" i="5" s="1"/>
  <c r="S68" i="5"/>
  <c r="S13" i="8" s="1"/>
  <c r="Q13" i="8"/>
  <c r="Q14" i="8" s="1"/>
  <c r="DB14" i="8" s="1"/>
  <c r="S201" i="5"/>
  <c r="M22" i="8"/>
  <c r="M27" i="8" s="1"/>
  <c r="CX27" i="8" s="1"/>
  <c r="Q75" i="5"/>
  <c r="Q15" i="8" s="1"/>
  <c r="Q16" i="8" s="1"/>
  <c r="DB16" i="8" s="1"/>
  <c r="U64" i="5"/>
  <c r="U194" i="5" s="1"/>
  <c r="U200" i="5" s="1"/>
  <c r="I207" i="2"/>
  <c r="G219" i="2"/>
  <c r="I190" i="2"/>
  <c r="O453" i="5"/>
  <c r="O455" i="5" s="1"/>
  <c r="O448" i="5" s="1"/>
  <c r="O450" i="5" s="1"/>
  <c r="O296" i="5" s="1"/>
  <c r="N455" i="5"/>
  <c r="N448" i="5" s="1"/>
  <c r="N450" i="5" s="1"/>
  <c r="N296" i="5" s="1"/>
  <c r="H326" i="2"/>
  <c r="F169" i="2"/>
  <c r="I215" i="2"/>
  <c r="M113" i="5"/>
  <c r="M115" i="5" s="1"/>
  <c r="M135" i="5" s="1"/>
  <c r="M210" i="5"/>
  <c r="H325" i="2"/>
  <c r="H218" i="2"/>
  <c r="J13" i="5"/>
  <c r="I285" i="2"/>
  <c r="J294" i="6"/>
  <c r="H308" i="2"/>
  <c r="H233" i="2"/>
  <c r="H234" i="2"/>
  <c r="J9" i="4"/>
  <c r="I382" i="2"/>
  <c r="M409" i="5"/>
  <c r="H237" i="2"/>
  <c r="I245" i="6"/>
  <c r="I7" i="5"/>
  <c r="I5" i="8" s="1"/>
  <c r="K376" i="5"/>
  <c r="K290" i="5"/>
  <c r="P318" i="5"/>
  <c r="M164" i="5"/>
  <c r="M549" i="5" s="1"/>
  <c r="M165" i="5"/>
  <c r="L115" i="2"/>
  <c r="K114" i="2"/>
  <c r="L7" i="6"/>
  <c r="G229" i="2"/>
  <c r="G231" i="2"/>
  <c r="G198" i="2"/>
  <c r="G236" i="2"/>
  <c r="L496" i="5"/>
  <c r="L500" i="5" s="1"/>
  <c r="K505" i="5"/>
  <c r="K502" i="5"/>
  <c r="K501" i="5"/>
  <c r="K507" i="5"/>
  <c r="K13" i="4"/>
  <c r="L3" i="4"/>
  <c r="K11" i="4"/>
  <c r="K7" i="4" a="1"/>
  <c r="K7" i="4" s="1"/>
  <c r="K10" i="4" s="1"/>
  <c r="K6" i="4" a="1"/>
  <c r="K6" i="4" s="1"/>
  <c r="K5" i="4" a="1"/>
  <c r="K5" i="4" s="1"/>
  <c r="N465" i="5"/>
  <c r="O466" i="5"/>
  <c r="M478" i="5"/>
  <c r="M479" i="5" s="1"/>
  <c r="M497" i="5" s="1"/>
  <c r="M483" i="5"/>
  <c r="M484" i="5" s="1"/>
  <c r="M499" i="5" s="1"/>
  <c r="N309" i="5"/>
  <c r="N429" i="5" s="1"/>
  <c r="O328" i="5"/>
  <c r="N438" i="5"/>
  <c r="O313" i="5"/>
  <c r="O7" i="8"/>
  <c r="CZ7" i="8" s="1"/>
  <c r="O238" i="5"/>
  <c r="O116" i="5" s="1"/>
  <c r="O361" i="5"/>
  <c r="O362" i="5" s="1"/>
  <c r="O366" i="5"/>
  <c r="O367" i="5" s="1"/>
  <c r="O291" i="5" s="1"/>
  <c r="O371" i="5"/>
  <c r="O372" i="5" s="1"/>
  <c r="O307" i="5" s="1"/>
  <c r="O134" i="5"/>
  <c r="J8" i="4"/>
  <c r="J2" i="4" s="1"/>
  <c r="G309" i="2"/>
  <c r="O320" i="5"/>
  <c r="N408" i="5"/>
  <c r="G165" i="2"/>
  <c r="G306" i="2"/>
  <c r="Q106" i="5"/>
  <c r="Q133" i="5" s="1"/>
  <c r="Q110" i="5"/>
  <c r="Q112" i="5" s="1"/>
  <c r="Q142" i="5" s="1"/>
  <c r="Q167" i="5" s="1"/>
  <c r="M346" i="5"/>
  <c r="M347" i="5" s="1"/>
  <c r="M259" i="5"/>
  <c r="E320" i="2"/>
  <c r="E321" i="2"/>
  <c r="F321" i="2"/>
  <c r="F320" i="2"/>
  <c r="I392" i="5"/>
  <c r="I393" i="5" s="1"/>
  <c r="J391" i="5" s="1"/>
  <c r="J392" i="5" s="1"/>
  <c r="J393" i="5" s="1"/>
  <c r="J405" i="5" s="1"/>
  <c r="J411" i="5" s="1"/>
  <c r="O487" i="5"/>
  <c r="O492" i="5" s="1"/>
  <c r="N493" i="5"/>
  <c r="N435" i="5"/>
  <c r="O310" i="5"/>
  <c r="N407" i="5"/>
  <c r="G323" i="2"/>
  <c r="S191" i="5"/>
  <c r="Q199" i="5"/>
  <c r="Q425" i="5"/>
  <c r="R414" i="5"/>
  <c r="K346" i="5"/>
  <c r="K347" i="5" s="1"/>
  <c r="K259" i="5"/>
  <c r="P319" i="5"/>
  <c r="Q401" i="5"/>
  <c r="Q403" i="5" s="1"/>
  <c r="M376" i="5"/>
  <c r="M290" i="5"/>
  <c r="K545" i="5"/>
  <c r="K542" i="5"/>
  <c r="K10" i="5" a="1"/>
  <c r="K10" i="5" s="1"/>
  <c r="K17" i="5"/>
  <c r="L8" i="5"/>
  <c r="J302" i="6" s="1"/>
  <c r="J18" i="2" s="1"/>
  <c r="K15" i="5"/>
  <c r="K12" i="5" a="1"/>
  <c r="K12" i="5" s="1"/>
  <c r="K14" i="5" s="1"/>
  <c r="K11" i="5" a="1"/>
  <c r="K11" i="5" s="1"/>
  <c r="K135" i="5"/>
  <c r="K119" i="5"/>
  <c r="C9" i="17" s="1"/>
  <c r="T191" i="5"/>
  <c r="R199" i="5"/>
  <c r="X378" i="2"/>
  <c r="Y211" i="2"/>
  <c r="Y346" i="2"/>
  <c r="Y205" i="2"/>
  <c r="Y373" i="2"/>
  <c r="Y348" i="2"/>
  <c r="Y214" i="2"/>
  <c r="Y352" i="2"/>
  <c r="Y343" i="2"/>
  <c r="Y305" i="2"/>
  <c r="V380" i="2"/>
  <c r="Y146" i="2"/>
  <c r="Y342" i="2"/>
  <c r="Y153" i="2"/>
  <c r="Y145" i="2"/>
  <c r="Y166" i="2"/>
  <c r="U306" i="2"/>
  <c r="V233" i="2"/>
  <c r="Y355" i="2"/>
  <c r="U309" i="2"/>
  <c r="Y268" i="2"/>
  <c r="Y155" i="2"/>
  <c r="Y353" i="2"/>
  <c r="Y378" i="2"/>
  <c r="Y370" i="2"/>
  <c r="Y288" i="2"/>
  <c r="Y367" i="2"/>
  <c r="Y255" i="2"/>
  <c r="Y290" i="2"/>
  <c r="W382" i="2"/>
  <c r="U231" i="2"/>
  <c r="Y371" i="2"/>
  <c r="Y260" i="2"/>
  <c r="Y364" i="2"/>
  <c r="Y292" i="2"/>
  <c r="Y365" i="2"/>
  <c r="Y170" i="2"/>
  <c r="V234" i="2"/>
  <c r="Y164" i="2"/>
  <c r="Y161" i="2"/>
  <c r="Y144" i="2"/>
  <c r="V308" i="2"/>
  <c r="Y330" i="2"/>
  <c r="W190" i="2"/>
  <c r="Y354" i="2"/>
  <c r="Y148" i="2"/>
  <c r="Y358" i="2"/>
  <c r="V195" i="2"/>
  <c r="Y347" i="2"/>
  <c r="Y345" i="2"/>
  <c r="Y344" i="2"/>
  <c r="Y152" i="2"/>
  <c r="Y350" i="2"/>
  <c r="Y225" i="2"/>
  <c r="Y270" i="2"/>
  <c r="S320" i="2"/>
  <c r="Y351" i="2"/>
  <c r="Y188" i="2"/>
  <c r="V218" i="2"/>
  <c r="Y160" i="2"/>
  <c r="Y243" i="2"/>
  <c r="Y369" i="2"/>
  <c r="V326" i="2"/>
  <c r="S321" i="2"/>
  <c r="Y357" i="2"/>
  <c r="W285" i="2"/>
  <c r="Y366" i="2"/>
  <c r="Y206" i="2"/>
  <c r="Y329" i="2"/>
  <c r="V237" i="2"/>
  <c r="U236" i="2"/>
  <c r="U165" i="2"/>
  <c r="W207" i="2"/>
  <c r="W215" i="2"/>
  <c r="Y337" i="2"/>
  <c r="Y185" i="2"/>
  <c r="Y359" i="2"/>
  <c r="Y372" i="2"/>
  <c r="Y151" i="2"/>
  <c r="W380" i="2"/>
  <c r="Y173" i="2"/>
  <c r="Y175" i="2"/>
  <c r="Y168" i="2"/>
  <c r="Y304" i="2"/>
  <c r="W194" i="2"/>
  <c r="T321" i="2"/>
  <c r="Y150" i="2"/>
  <c r="T320" i="2"/>
  <c r="U323" i="2"/>
  <c r="Y289" i="2"/>
  <c r="Y356" i="2"/>
  <c r="Y210" i="2"/>
  <c r="Y257" i="2"/>
  <c r="T169" i="2"/>
  <c r="Y368" i="2"/>
  <c r="Y291" i="2"/>
  <c r="V325" i="2"/>
  <c r="J3" i="2" l="1"/>
  <c r="H197" i="2"/>
  <c r="H236" i="2" s="1"/>
  <c r="O259" i="5"/>
  <c r="O551" i="5" s="1"/>
  <c r="M253" i="5"/>
  <c r="K412" i="5"/>
  <c r="K249" i="5"/>
  <c r="O24" i="8"/>
  <c r="O29" i="8" s="1"/>
  <c r="CZ29" i="8" s="1"/>
  <c r="O23" i="8"/>
  <c r="O28" i="8" s="1"/>
  <c r="CZ28" i="8" s="1"/>
  <c r="J201" i="6"/>
  <c r="J207" i="6"/>
  <c r="I216" i="2"/>
  <c r="H219" i="2"/>
  <c r="H198" i="2"/>
  <c r="O218" i="5"/>
  <c r="O229" i="5"/>
  <c r="O231" i="5" s="1"/>
  <c r="S14" i="8"/>
  <c r="DD14" i="8" s="1"/>
  <c r="M231" i="5"/>
  <c r="S108" i="5"/>
  <c r="S110" i="5" s="1"/>
  <c r="S112" i="5" s="1"/>
  <c r="S142" i="5" s="1"/>
  <c r="S167" i="5" s="1"/>
  <c r="S75" i="5"/>
  <c r="S208" i="5" s="1"/>
  <c r="J7" i="5"/>
  <c r="J5" i="8" s="1"/>
  <c r="J20" i="8" s="1"/>
  <c r="O459" i="5"/>
  <c r="O152" i="5" s="1"/>
  <c r="O154" i="5" s="1"/>
  <c r="Q76" i="5"/>
  <c r="U71" i="5"/>
  <c r="U109" i="5" s="1"/>
  <c r="Q208" i="5"/>
  <c r="U68" i="5"/>
  <c r="U108" i="5" s="1"/>
  <c r="U201" i="5"/>
  <c r="P457" i="5"/>
  <c r="P458" i="5" s="1"/>
  <c r="P459" i="5" s="1"/>
  <c r="P152" i="5" s="1"/>
  <c r="P154" i="5" s="1"/>
  <c r="P453" i="5"/>
  <c r="Q453" i="5" s="1"/>
  <c r="W64" i="5"/>
  <c r="W12" i="8" s="1"/>
  <c r="Q186" i="5"/>
  <c r="Q197" i="5" s="1"/>
  <c r="Q203" i="5" s="1"/>
  <c r="Q210" i="5" s="1"/>
  <c r="U105" i="5"/>
  <c r="Q226" i="5"/>
  <c r="Q234" i="5" s="1"/>
  <c r="Q172" i="5" s="1"/>
  <c r="Q178" i="5" s="1"/>
  <c r="U189" i="5"/>
  <c r="U198" i="5" s="1"/>
  <c r="Q217" i="5"/>
  <c r="Q23" i="8" s="1"/>
  <c r="Q28" i="8" s="1"/>
  <c r="DB28" i="8" s="1"/>
  <c r="U12" i="8"/>
  <c r="H229" i="2"/>
  <c r="H231" i="2"/>
  <c r="M119" i="5"/>
  <c r="F296" i="2"/>
  <c r="F316" i="2"/>
  <c r="F172" i="2"/>
  <c r="F322" i="2"/>
  <c r="J218" i="6"/>
  <c r="N409" i="5"/>
  <c r="J229" i="6"/>
  <c r="K13" i="5"/>
  <c r="J227" i="6"/>
  <c r="J213" i="2" s="1"/>
  <c r="J202" i="6"/>
  <c r="J237" i="6"/>
  <c r="J227" i="2" s="1"/>
  <c r="H309" i="2"/>
  <c r="Q7" i="8"/>
  <c r="DB7" i="8" s="1"/>
  <c r="Q371" i="5"/>
  <c r="Q372" i="5" s="1"/>
  <c r="Q307" i="5" s="1"/>
  <c r="Q366" i="5"/>
  <c r="Q367" i="5" s="1"/>
  <c r="Q291" i="5" s="1"/>
  <c r="Q361" i="5"/>
  <c r="Q362" i="5" s="1"/>
  <c r="Q238" i="5"/>
  <c r="Q116" i="5" s="1"/>
  <c r="Q134" i="5"/>
  <c r="I405" i="5"/>
  <c r="I411" i="5" s="1"/>
  <c r="R425" i="5"/>
  <c r="S414" i="5"/>
  <c r="G167" i="2"/>
  <c r="J197" i="6"/>
  <c r="J186" i="2" s="1"/>
  <c r="N478" i="5"/>
  <c r="N479" i="5" s="1"/>
  <c r="N497" i="5" s="1"/>
  <c r="N483" i="5"/>
  <c r="N484" i="5" s="1"/>
  <c r="N499" i="5" s="1"/>
  <c r="J224" i="6"/>
  <c r="J212" i="2" s="1"/>
  <c r="O408" i="5"/>
  <c r="P320" i="5"/>
  <c r="P325" i="5" s="1"/>
  <c r="O438" i="5"/>
  <c r="P313" i="5"/>
  <c r="O309" i="5"/>
  <c r="O429" i="5" s="1"/>
  <c r="J219" i="6"/>
  <c r="O325" i="5"/>
  <c r="M551" i="5"/>
  <c r="M265" i="5"/>
  <c r="Q318" i="5"/>
  <c r="L545" i="5"/>
  <c r="L542" i="5"/>
  <c r="L17" i="5"/>
  <c r="L15" i="5"/>
  <c r="L12" i="5" a="1"/>
  <c r="L12" i="5" s="1"/>
  <c r="L14" i="5" s="1"/>
  <c r="M8" i="5"/>
  <c r="L10" i="5" a="1"/>
  <c r="L10" i="5" s="1"/>
  <c r="L11" i="5" a="1"/>
  <c r="L11" i="5" s="1"/>
  <c r="J220" i="6"/>
  <c r="R401" i="5"/>
  <c r="R403" i="5" s="1"/>
  <c r="Q319" i="5"/>
  <c r="J234" i="6"/>
  <c r="J222" i="2" s="1"/>
  <c r="K338" i="2"/>
  <c r="K3" i="2"/>
  <c r="L114" i="2"/>
  <c r="M115" i="2"/>
  <c r="J204" i="6"/>
  <c r="J192" i="2" s="1"/>
  <c r="J215" i="6"/>
  <c r="J204" i="2" s="1"/>
  <c r="O164" i="5"/>
  <c r="O549" i="5" s="1"/>
  <c r="O165" i="5"/>
  <c r="J231" i="6"/>
  <c r="J203" i="6"/>
  <c r="O435" i="5"/>
  <c r="O407" i="5"/>
  <c r="P310" i="5"/>
  <c r="J225" i="6"/>
  <c r="J209" i="2" s="1"/>
  <c r="I20" i="8"/>
  <c r="L11" i="4"/>
  <c r="M3" i="4"/>
  <c r="L7" i="4" a="1"/>
  <c r="L7" i="4" s="1"/>
  <c r="L10" i="4" s="1"/>
  <c r="L6" i="4" a="1"/>
  <c r="L6" i="4" s="1"/>
  <c r="L5" i="4" a="1"/>
  <c r="L5" i="4" s="1"/>
  <c r="L13" i="4"/>
  <c r="J226" i="6"/>
  <c r="J295" i="6"/>
  <c r="O290" i="5"/>
  <c r="O376" i="5"/>
  <c r="M496" i="5"/>
  <c r="M500" i="5" s="1"/>
  <c r="L505" i="5"/>
  <c r="J298" i="6" s="1"/>
  <c r="J286" i="2" s="1"/>
  <c r="L502" i="5"/>
  <c r="L501" i="5"/>
  <c r="L507" i="5"/>
  <c r="J299" i="6" s="1"/>
  <c r="G319" i="2"/>
  <c r="O22" i="8"/>
  <c r="O27" i="8" s="1"/>
  <c r="CZ27" i="8" s="1"/>
  <c r="O211" i="5"/>
  <c r="O113" i="5"/>
  <c r="O115" i="5" s="1"/>
  <c r="O210" i="5"/>
  <c r="P487" i="5"/>
  <c r="P492" i="5" s="1"/>
  <c r="O493" i="5"/>
  <c r="K265" i="5"/>
  <c r="K551" i="5"/>
  <c r="U191" i="5"/>
  <c r="S199" i="5"/>
  <c r="J217" i="6"/>
  <c r="J228" i="6"/>
  <c r="J216" i="6"/>
  <c r="K8" i="4"/>
  <c r="K2" i="4" s="1"/>
  <c r="R350" i="5"/>
  <c r="Q353" i="5"/>
  <c r="P466" i="5"/>
  <c r="O465" i="5"/>
  <c r="K8" i="8"/>
  <c r="CV8" i="8" s="1"/>
  <c r="K548" i="5"/>
  <c r="K136" i="5"/>
  <c r="K144" i="5"/>
  <c r="T199" i="5"/>
  <c r="V191" i="5"/>
  <c r="P328" i="5"/>
  <c r="K9" i="4"/>
  <c r="M7" i="6"/>
  <c r="J206" i="6"/>
  <c r="J191" i="2" s="1"/>
  <c r="U319" i="2"/>
  <c r="Z155" i="2"/>
  <c r="X189" i="2"/>
  <c r="Z153" i="2"/>
  <c r="Z342" i="2"/>
  <c r="Z175" i="2"/>
  <c r="V197" i="2"/>
  <c r="T316" i="2"/>
  <c r="Z290" i="2"/>
  <c r="Z305" i="2"/>
  <c r="Z365" i="2"/>
  <c r="Z257" i="2"/>
  <c r="Z358" i="2"/>
  <c r="Z145" i="2"/>
  <c r="X227" i="2"/>
  <c r="X209" i="2"/>
  <c r="X186" i="2"/>
  <c r="U167" i="2"/>
  <c r="T296" i="2"/>
  <c r="Z144" i="2"/>
  <c r="Z205" i="2"/>
  <c r="Z304" i="2"/>
  <c r="Z260" i="2"/>
  <c r="Z151" i="2"/>
  <c r="X213" i="2"/>
  <c r="Z345" i="2"/>
  <c r="Z185" i="2"/>
  <c r="X191" i="2"/>
  <c r="V236" i="2"/>
  <c r="X192" i="2"/>
  <c r="T172" i="2"/>
  <c r="Z160" i="2"/>
  <c r="Z364" i="2"/>
  <c r="Z148" i="2"/>
  <c r="Z173" i="2"/>
  <c r="W216" i="2"/>
  <c r="Z161" i="2"/>
  <c r="Z355" i="2"/>
  <c r="Z164" i="2"/>
  <c r="Z210" i="2"/>
  <c r="Z356" i="2"/>
  <c r="Z152" i="2"/>
  <c r="X204" i="2"/>
  <c r="Z347" i="2"/>
  <c r="Z353" i="2"/>
  <c r="Z359" i="2"/>
  <c r="Z352" i="2"/>
  <c r="Z369" i="2"/>
  <c r="Z188" i="2"/>
  <c r="Z206" i="2"/>
  <c r="Z150" i="2"/>
  <c r="Z343" i="2"/>
  <c r="V309" i="2"/>
  <c r="T322" i="2"/>
  <c r="Z351" i="2"/>
  <c r="Z288" i="2"/>
  <c r="Z146" i="2"/>
  <c r="Z357" i="2"/>
  <c r="X222" i="2"/>
  <c r="Z371" i="2"/>
  <c r="Z329" i="2"/>
  <c r="Z225" i="2"/>
  <c r="Z350" i="2"/>
  <c r="Z354" i="2"/>
  <c r="Z346" i="2"/>
  <c r="Z243" i="2"/>
  <c r="Z170" i="2"/>
  <c r="Z348" i="2"/>
  <c r="Z166" i="2"/>
  <c r="V231" i="2"/>
  <c r="X212" i="2"/>
  <c r="Z291" i="2"/>
  <c r="Z370" i="2"/>
  <c r="Z330" i="2"/>
  <c r="Z367" i="2"/>
  <c r="Z255" i="2"/>
  <c r="Z373" i="2"/>
  <c r="Z211" i="2"/>
  <c r="Z292" i="2"/>
  <c r="Z270" i="2"/>
  <c r="Z378" i="2"/>
  <c r="Z168" i="2"/>
  <c r="Z344" i="2"/>
  <c r="Z337" i="2"/>
  <c r="Z372" i="2"/>
  <c r="X286" i="2"/>
  <c r="Z268" i="2"/>
  <c r="Z366" i="2"/>
  <c r="Z289" i="2"/>
  <c r="Z368" i="2"/>
  <c r="Z214" i="2"/>
  <c r="O265" i="5" l="1"/>
  <c r="O253" i="5"/>
  <c r="J414" i="5"/>
  <c r="J425" i="5" s="1"/>
  <c r="M249" i="5"/>
  <c r="J194" i="2"/>
  <c r="H319" i="2"/>
  <c r="O117" i="5"/>
  <c r="O119" i="5" s="1"/>
  <c r="K7" i="5"/>
  <c r="K5" i="8" s="1"/>
  <c r="K20" i="8" s="1"/>
  <c r="S217" i="5"/>
  <c r="S218" i="5" s="1"/>
  <c r="S76" i="5"/>
  <c r="S186" i="5"/>
  <c r="S197" i="5" s="1"/>
  <c r="S203" i="5" s="1"/>
  <c r="S226" i="5"/>
  <c r="S24" i="8" s="1"/>
  <c r="S15" i="8"/>
  <c r="S16" i="8" s="1"/>
  <c r="DD16" i="8" s="1"/>
  <c r="S106" i="5"/>
  <c r="S133" i="5" s="1"/>
  <c r="U13" i="8"/>
  <c r="U14" i="8" s="1"/>
  <c r="DF14" i="8" s="1"/>
  <c r="U75" i="5"/>
  <c r="U208" i="5" s="1"/>
  <c r="W201" i="5"/>
  <c r="W71" i="5"/>
  <c r="W109" i="5" s="1"/>
  <c r="W189" i="5"/>
  <c r="W198" i="5" s="1"/>
  <c r="Y64" i="5"/>
  <c r="Y12" i="8" s="1"/>
  <c r="W68" i="5"/>
  <c r="W108" i="5" s="1"/>
  <c r="W194" i="5"/>
  <c r="W200" i="5" s="1"/>
  <c r="Q24" i="8"/>
  <c r="Q29" i="8" s="1"/>
  <c r="DB29" i="8" s="1"/>
  <c r="Q457" i="5"/>
  <c r="Q458" i="5" s="1"/>
  <c r="P455" i="5"/>
  <c r="P448" i="5" s="1"/>
  <c r="P450" i="5" s="1"/>
  <c r="P296" i="5" s="1"/>
  <c r="W105" i="5"/>
  <c r="Q218" i="5"/>
  <c r="Q227" i="5"/>
  <c r="Q229" i="5" s="1"/>
  <c r="Q117" i="5" s="1"/>
  <c r="M8" i="8"/>
  <c r="CX8" i="8" s="1"/>
  <c r="M144" i="5"/>
  <c r="M168" i="5" s="1"/>
  <c r="M136" i="5"/>
  <c r="M548" i="5"/>
  <c r="J207" i="2"/>
  <c r="F176" i="2"/>
  <c r="L8" i="4"/>
  <c r="L2" i="4" s="1"/>
  <c r="Q22" i="8"/>
  <c r="Q27" i="8" s="1"/>
  <c r="DB27" i="8" s="1"/>
  <c r="J190" i="2"/>
  <c r="Q113" i="5"/>
  <c r="Q115" i="5" s="1"/>
  <c r="Q135" i="5" s="1"/>
  <c r="Q211" i="5"/>
  <c r="O409" i="5"/>
  <c r="S7" i="8"/>
  <c r="DD7" i="8" s="1"/>
  <c r="S361" i="5"/>
  <c r="S362" i="5" s="1"/>
  <c r="S366" i="5"/>
  <c r="S367" i="5" s="1"/>
  <c r="S291" i="5" s="1"/>
  <c r="S371" i="5"/>
  <c r="S372" i="5" s="1"/>
  <c r="S307" i="5" s="1"/>
  <c r="S134" i="5"/>
  <c r="S238" i="5"/>
  <c r="S116" i="5" s="1"/>
  <c r="M545" i="5"/>
  <c r="M542" i="5"/>
  <c r="M12" i="5" a="1"/>
  <c r="M12" i="5" s="1"/>
  <c r="M14" i="5" s="1"/>
  <c r="M17" i="5"/>
  <c r="M15" i="5"/>
  <c r="N8" i="5"/>
  <c r="K228" i="6" s="1"/>
  <c r="M11" i="5" a="1"/>
  <c r="M11" i="5" s="1"/>
  <c r="M10" i="5" a="1"/>
  <c r="M10" i="5" s="1"/>
  <c r="U199" i="5"/>
  <c r="W191" i="5"/>
  <c r="P435" i="5"/>
  <c r="P407" i="5"/>
  <c r="Q310" i="5"/>
  <c r="J382" i="2"/>
  <c r="Q376" i="5"/>
  <c r="Q290" i="5"/>
  <c r="Q346" i="5"/>
  <c r="Q347" i="5" s="1"/>
  <c r="Q259" i="5"/>
  <c r="S425" i="5"/>
  <c r="T414" i="5"/>
  <c r="P309" i="5"/>
  <c r="P429" i="5" s="1"/>
  <c r="S350" i="5"/>
  <c r="Q487" i="5"/>
  <c r="Q492" i="5" s="1"/>
  <c r="P493" i="5"/>
  <c r="G321" i="2"/>
  <c r="G320" i="2"/>
  <c r="S401" i="5"/>
  <c r="S403" i="5" s="1"/>
  <c r="R319" i="5"/>
  <c r="Q328" i="5"/>
  <c r="K294" i="6"/>
  <c r="J285" i="2"/>
  <c r="J296" i="6"/>
  <c r="J287" i="2" s="1"/>
  <c r="O135" i="5"/>
  <c r="V199" i="5"/>
  <c r="X191" i="5"/>
  <c r="U106" i="5"/>
  <c r="U133" i="5" s="1"/>
  <c r="U110" i="5"/>
  <c r="U112" i="5" s="1"/>
  <c r="U142" i="5" s="1"/>
  <c r="U167" i="5" s="1"/>
  <c r="P438" i="5"/>
  <c r="Q313" i="5"/>
  <c r="J245" i="6"/>
  <c r="N115" i="2"/>
  <c r="M114" i="2"/>
  <c r="K168" i="5"/>
  <c r="J380" i="2"/>
  <c r="N496" i="5"/>
  <c r="N500" i="5" s="1"/>
  <c r="M505" i="5"/>
  <c r="M502" i="5"/>
  <c r="M501" i="5"/>
  <c r="M507" i="5"/>
  <c r="Q164" i="5"/>
  <c r="Q549" i="5" s="1"/>
  <c r="Q165" i="5"/>
  <c r="L9" i="4"/>
  <c r="R318" i="5"/>
  <c r="N7" i="6"/>
  <c r="J215" i="2"/>
  <c r="O478" i="5"/>
  <c r="O479" i="5" s="1"/>
  <c r="O497" i="5" s="1"/>
  <c r="O483" i="5"/>
  <c r="O484" i="5" s="1"/>
  <c r="O499" i="5" s="1"/>
  <c r="M7" i="4" a="1"/>
  <c r="M7" i="4" s="1"/>
  <c r="M10" i="4" s="1"/>
  <c r="M11" i="4"/>
  <c r="M6" i="4" a="1"/>
  <c r="M6" i="4" s="1"/>
  <c r="M13" i="4"/>
  <c r="M5" i="4" a="1"/>
  <c r="M5" i="4" s="1"/>
  <c r="N3" i="4"/>
  <c r="L338" i="2"/>
  <c r="L3" i="2"/>
  <c r="P408" i="5"/>
  <c r="Q320" i="5"/>
  <c r="Q325" i="5" s="1"/>
  <c r="G169" i="2"/>
  <c r="P465" i="5"/>
  <c r="Q466" i="5"/>
  <c r="R457" i="5"/>
  <c r="R458" i="5" s="1"/>
  <c r="R453" i="5"/>
  <c r="Q455" i="5"/>
  <c r="Q448" i="5" s="1"/>
  <c r="Q450" i="5" s="1"/>
  <c r="Q296" i="5" s="1"/>
  <c r="L13" i="5"/>
  <c r="X215" i="2"/>
  <c r="AA343" i="2"/>
  <c r="AA304" i="2"/>
  <c r="AA353" i="2"/>
  <c r="AA145" i="2"/>
  <c r="AA206" i="2"/>
  <c r="U321" i="2"/>
  <c r="AA270" i="2"/>
  <c r="AA243" i="2"/>
  <c r="AA356" i="2"/>
  <c r="AA168" i="2"/>
  <c r="AA348" i="2"/>
  <c r="U320" i="2"/>
  <c r="T176" i="2"/>
  <c r="AA346" i="2"/>
  <c r="AA358" i="2"/>
  <c r="AA257" i="2"/>
  <c r="AA337" i="2"/>
  <c r="X190" i="2"/>
  <c r="AA352" i="2"/>
  <c r="AA368" i="2"/>
  <c r="AA364" i="2"/>
  <c r="AA366" i="2"/>
  <c r="X380" i="2"/>
  <c r="AA372" i="2"/>
  <c r="AA350" i="2"/>
  <c r="AA365" i="2"/>
  <c r="AA153" i="2"/>
  <c r="AA188" i="2"/>
  <c r="AA292" i="2"/>
  <c r="AA289" i="2"/>
  <c r="AA144" i="2"/>
  <c r="AA151" i="2"/>
  <c r="X382" i="2"/>
  <c r="AA347" i="2"/>
  <c r="AA150" i="2"/>
  <c r="AA330" i="2"/>
  <c r="AA164" i="2"/>
  <c r="AA155" i="2"/>
  <c r="AA351" i="2"/>
  <c r="AA170" i="2"/>
  <c r="AA373" i="2"/>
  <c r="AA305" i="2"/>
  <c r="AA342" i="2"/>
  <c r="AA255" i="2"/>
  <c r="AA160" i="2"/>
  <c r="AA370" i="2"/>
  <c r="AA210" i="2"/>
  <c r="AA357" i="2"/>
  <c r="AA175" i="2"/>
  <c r="X285" i="2"/>
  <c r="AA148" i="2"/>
  <c r="AA161" i="2"/>
  <c r="AA205" i="2"/>
  <c r="AA369" i="2"/>
  <c r="AA211" i="2"/>
  <c r="AA185" i="2"/>
  <c r="X287" i="2"/>
  <c r="AA345" i="2"/>
  <c r="AA288" i="2"/>
  <c r="AA166" i="2"/>
  <c r="AA359" i="2"/>
  <c r="AA146" i="2"/>
  <c r="AA214" i="2"/>
  <c r="AA260" i="2"/>
  <c r="AA329" i="2"/>
  <c r="AA355" i="2"/>
  <c r="V319" i="2"/>
  <c r="AA152" i="2"/>
  <c r="AA367" i="2"/>
  <c r="AA354" i="2"/>
  <c r="U169" i="2"/>
  <c r="X207" i="2"/>
  <c r="X194" i="2"/>
  <c r="AA225" i="2"/>
  <c r="AA291" i="2"/>
  <c r="AA371" i="2"/>
  <c r="AA378" i="2"/>
  <c r="AA290" i="2"/>
  <c r="AA268" i="2"/>
  <c r="AA173" i="2"/>
  <c r="AA344" i="2"/>
  <c r="Q253" i="5" l="1"/>
  <c r="O249" i="5"/>
  <c r="K201" i="6"/>
  <c r="K207" i="6"/>
  <c r="U15" i="8"/>
  <c r="U16" i="8" s="1"/>
  <c r="DF16" i="8" s="1"/>
  <c r="S234" i="5"/>
  <c r="S172" i="5" s="1"/>
  <c r="S178" i="5" s="1"/>
  <c r="S165" i="5" s="1"/>
  <c r="S23" i="8"/>
  <c r="S28" i="8" s="1"/>
  <c r="DD28" i="8" s="1"/>
  <c r="S29" i="8"/>
  <c r="DD29" i="8" s="1"/>
  <c r="S227" i="5"/>
  <c r="S229" i="5" s="1"/>
  <c r="S117" i="5" s="1"/>
  <c r="L7" i="5"/>
  <c r="L5" i="8" s="1"/>
  <c r="L20" i="8" s="1"/>
  <c r="U217" i="5"/>
  <c r="U227" i="5" s="1"/>
  <c r="U186" i="5"/>
  <c r="U197" i="5" s="1"/>
  <c r="U203" i="5" s="1"/>
  <c r="U113" i="5" s="1"/>
  <c r="U115" i="5" s="1"/>
  <c r="U226" i="5"/>
  <c r="U234" i="5" s="1"/>
  <c r="U172" i="5" s="1"/>
  <c r="U178" i="5" s="1"/>
  <c r="U76" i="5"/>
  <c r="Y189" i="5"/>
  <c r="Y198" i="5" s="1"/>
  <c r="W13" i="8"/>
  <c r="W14" i="8" s="1"/>
  <c r="DH14" i="8" s="1"/>
  <c r="Y68" i="5"/>
  <c r="Y108" i="5" s="1"/>
  <c r="W75" i="5"/>
  <c r="W208" i="5" s="1"/>
  <c r="Y194" i="5"/>
  <c r="Y200" i="5" s="1"/>
  <c r="Y71" i="5"/>
  <c r="Y109" i="5" s="1"/>
  <c r="Y105" i="5"/>
  <c r="Q459" i="5"/>
  <c r="Q152" i="5" s="1"/>
  <c r="Q154" i="5" s="1"/>
  <c r="AA64" i="5"/>
  <c r="AA71" i="5" s="1"/>
  <c r="AA109" i="5" s="1"/>
  <c r="Y201" i="5"/>
  <c r="Q231" i="5"/>
  <c r="F298" i="2"/>
  <c r="F177" i="2"/>
  <c r="Q119" i="5"/>
  <c r="J216" i="2"/>
  <c r="M13" i="5"/>
  <c r="K234" i="6"/>
  <c r="K222" i="2" s="1"/>
  <c r="K226" i="6"/>
  <c r="R459" i="5"/>
  <c r="R152" i="5" s="1"/>
  <c r="R154" i="5" s="1"/>
  <c r="K229" i="6"/>
  <c r="M8" i="4"/>
  <c r="M2" i="4" s="1"/>
  <c r="E5" i="16" s="1"/>
  <c r="K225" i="6"/>
  <c r="K209" i="2" s="1"/>
  <c r="M9" i="4"/>
  <c r="U7" i="8"/>
  <c r="DF7" i="8" s="1"/>
  <c r="U361" i="5"/>
  <c r="U362" i="5" s="1"/>
  <c r="U366" i="5"/>
  <c r="U367" i="5" s="1"/>
  <c r="U291" i="5" s="1"/>
  <c r="U371" i="5"/>
  <c r="U372" i="5" s="1"/>
  <c r="U307" i="5" s="1"/>
  <c r="U238" i="5"/>
  <c r="U116" i="5" s="1"/>
  <c r="U134" i="5"/>
  <c r="W199" i="5"/>
  <c r="Y191" i="5"/>
  <c r="N545" i="5"/>
  <c r="N542" i="5"/>
  <c r="N17" i="5"/>
  <c r="N12" i="5" a="1"/>
  <c r="N12" i="5" s="1"/>
  <c r="N14" i="5" s="1"/>
  <c r="N15" i="5"/>
  <c r="O8" i="5"/>
  <c r="N11" i="5" a="1"/>
  <c r="N11" i="5" s="1"/>
  <c r="N10" i="5" a="1"/>
  <c r="N10" i="5" s="1"/>
  <c r="K231" i="6"/>
  <c r="K215" i="6"/>
  <c r="K204" i="2" s="1"/>
  <c r="K206" i="6"/>
  <c r="K191" i="2" s="1"/>
  <c r="K302" i="6"/>
  <c r="K18" i="2" s="1"/>
  <c r="K220" i="6"/>
  <c r="K197" i="6"/>
  <c r="K186" i="2" s="1"/>
  <c r="K224" i="6"/>
  <c r="K212" i="2" s="1"/>
  <c r="K219" i="6"/>
  <c r="K202" i="6"/>
  <c r="K218" i="6"/>
  <c r="K217" i="6"/>
  <c r="K295" i="6"/>
  <c r="K296" i="6" s="1"/>
  <c r="K287" i="2" s="1"/>
  <c r="K227" i="6"/>
  <c r="K213" i="2" s="1"/>
  <c r="K237" i="6"/>
  <c r="K227" i="2" s="1"/>
  <c r="K203" i="6"/>
  <c r="K204" i="6"/>
  <c r="K192" i="2" s="1"/>
  <c r="S376" i="5"/>
  <c r="S290" i="5"/>
  <c r="T350" i="5"/>
  <c r="S353" i="5"/>
  <c r="S318" i="5"/>
  <c r="Q408" i="5"/>
  <c r="R320" i="5"/>
  <c r="R325" i="5" s="1"/>
  <c r="S22" i="8"/>
  <c r="S27" i="8" s="1"/>
  <c r="DD27" i="8" s="1"/>
  <c r="S211" i="5"/>
  <c r="S210" i="5"/>
  <c r="S113" i="5"/>
  <c r="S115" i="5" s="1"/>
  <c r="Q465" i="5"/>
  <c r="R466" i="5"/>
  <c r="N505" i="5"/>
  <c r="K298" i="6" s="1"/>
  <c r="K286" i="2" s="1"/>
  <c r="N502" i="5"/>
  <c r="N501" i="5"/>
  <c r="N507" i="5"/>
  <c r="K299" i="6" s="1"/>
  <c r="O496" i="5"/>
  <c r="O500" i="5" s="1"/>
  <c r="X199" i="5"/>
  <c r="Z191" i="5"/>
  <c r="Q309" i="5"/>
  <c r="Q429" i="5" s="1"/>
  <c r="P478" i="5"/>
  <c r="P479" i="5" s="1"/>
  <c r="P497" i="5" s="1"/>
  <c r="P483" i="5"/>
  <c r="P484" i="5" s="1"/>
  <c r="P499" i="5" s="1"/>
  <c r="M3" i="2"/>
  <c r="M338" i="2"/>
  <c r="T425" i="5"/>
  <c r="U414" i="5"/>
  <c r="Q493" i="5"/>
  <c r="R487" i="5"/>
  <c r="R492" i="5" s="1"/>
  <c r="N114" i="2"/>
  <c r="O115" i="2"/>
  <c r="O8" i="8"/>
  <c r="CZ8" i="8" s="1"/>
  <c r="O548" i="5"/>
  <c r="O136" i="5"/>
  <c r="O144" i="5"/>
  <c r="T401" i="5"/>
  <c r="T403" i="5" s="1"/>
  <c r="S319" i="5"/>
  <c r="Q551" i="5"/>
  <c r="Q265" i="5"/>
  <c r="R328" i="5"/>
  <c r="G316" i="2"/>
  <c r="G322" i="2"/>
  <c r="G172" i="2"/>
  <c r="G296" i="2"/>
  <c r="K216" i="6"/>
  <c r="O7" i="6"/>
  <c r="W106" i="5"/>
  <c r="W133" i="5" s="1"/>
  <c r="W110" i="5"/>
  <c r="W112" i="5" s="1"/>
  <c r="W142" i="5" s="1"/>
  <c r="W167" i="5" s="1"/>
  <c r="Q438" i="5"/>
  <c r="R313" i="5"/>
  <c r="Q435" i="5"/>
  <c r="Q407" i="5"/>
  <c r="R310" i="5"/>
  <c r="S453" i="5"/>
  <c r="S457" i="5"/>
  <c r="S458" i="5" s="1"/>
  <c r="R455" i="5"/>
  <c r="R448" i="5" s="1"/>
  <c r="R450" i="5" s="1"/>
  <c r="R296" i="5" s="1"/>
  <c r="N13" i="4"/>
  <c r="N7" i="4" a="1"/>
  <c r="N7" i="4" s="1"/>
  <c r="N10" i="4" s="1"/>
  <c r="N11" i="4"/>
  <c r="N6" i="4" a="1"/>
  <c r="N6" i="4" s="1"/>
  <c r="N5" i="4" a="1"/>
  <c r="N5" i="4" s="1"/>
  <c r="O3" i="4"/>
  <c r="P409" i="5"/>
  <c r="Y204" i="2"/>
  <c r="AB359" i="2"/>
  <c r="AB225" i="2"/>
  <c r="AB170" i="2"/>
  <c r="Y189" i="2"/>
  <c r="AB144" i="2"/>
  <c r="Y212" i="2"/>
  <c r="AB145" i="2"/>
  <c r="AB355" i="2"/>
  <c r="AB260" i="2"/>
  <c r="AB206" i="2"/>
  <c r="AB173" i="2"/>
  <c r="Y186" i="2"/>
  <c r="Y191" i="2"/>
  <c r="AB368" i="2"/>
  <c r="AB161" i="2"/>
  <c r="AB369" i="2"/>
  <c r="AB268" i="2"/>
  <c r="AB288" i="2"/>
  <c r="AB291" i="2"/>
  <c r="X216" i="2"/>
  <c r="AB210" i="2"/>
  <c r="AB343" i="2"/>
  <c r="Y213" i="2"/>
  <c r="AB160" i="2"/>
  <c r="AB364" i="2"/>
  <c r="AB346" i="2"/>
  <c r="AB166" i="2"/>
  <c r="AB353" i="2"/>
  <c r="AB367" i="2"/>
  <c r="AB175" i="2"/>
  <c r="AB255" i="2"/>
  <c r="AB329" i="2"/>
  <c r="AB152" i="2"/>
  <c r="AB337" i="2"/>
  <c r="AB270" i="2"/>
  <c r="AB378" i="2"/>
  <c r="AB354" i="2"/>
  <c r="AB352" i="2"/>
  <c r="AB153" i="2"/>
  <c r="AB292" i="2"/>
  <c r="AB371" i="2"/>
  <c r="AB164" i="2"/>
  <c r="AB211" i="2"/>
  <c r="AB372" i="2"/>
  <c r="Y286" i="2"/>
  <c r="AB214" i="2"/>
  <c r="AB243" i="2"/>
  <c r="AB289" i="2"/>
  <c r="AB357" i="2"/>
  <c r="AB151" i="2"/>
  <c r="T298" i="2"/>
  <c r="AB146" i="2"/>
  <c r="U316" i="2"/>
  <c r="AB351" i="2"/>
  <c r="AB305" i="2"/>
  <c r="AB155" i="2"/>
  <c r="AB342" i="2"/>
  <c r="AB370" i="2"/>
  <c r="AB148" i="2"/>
  <c r="AB168" i="2"/>
  <c r="U296" i="2"/>
  <c r="Y227" i="2"/>
  <c r="AB185" i="2"/>
  <c r="AB344" i="2"/>
  <c r="Y192" i="2"/>
  <c r="AB150" i="2"/>
  <c r="AB356" i="2"/>
  <c r="Y222" i="2"/>
  <c r="AB350" i="2"/>
  <c r="AB304" i="2"/>
  <c r="AB345" i="2"/>
  <c r="AB358" i="2"/>
  <c r="AB188" i="2"/>
  <c r="AB366" i="2"/>
  <c r="U322" i="2"/>
  <c r="AB205" i="2"/>
  <c r="AB290" i="2"/>
  <c r="AB257" i="2"/>
  <c r="U172" i="2"/>
  <c r="AB330" i="2"/>
  <c r="AB365" i="2"/>
  <c r="AB348" i="2"/>
  <c r="Y287" i="2"/>
  <c r="AB373" i="2"/>
  <c r="AB347" i="2"/>
  <c r="Y209" i="2"/>
  <c r="Q249" i="5" l="1"/>
  <c r="K194" i="2"/>
  <c r="S164" i="5"/>
  <c r="S549" i="5" s="1"/>
  <c r="U24" i="8"/>
  <c r="U29" i="8" s="1"/>
  <c r="DF29" i="8" s="1"/>
  <c r="U23" i="8"/>
  <c r="U28" i="8" s="1"/>
  <c r="DF28" i="8" s="1"/>
  <c r="U218" i="5"/>
  <c r="Y13" i="8"/>
  <c r="Y14" i="8" s="1"/>
  <c r="DJ14" i="8" s="1"/>
  <c r="S231" i="5"/>
  <c r="W15" i="8"/>
  <c r="W16" i="8" s="1"/>
  <c r="DH16" i="8" s="1"/>
  <c r="U229" i="5"/>
  <c r="U231" i="5" s="1"/>
  <c r="M7" i="5"/>
  <c r="M5" i="8" s="1"/>
  <c r="M20" i="8" s="1"/>
  <c r="AA12" i="8"/>
  <c r="W76" i="5"/>
  <c r="W217" i="5"/>
  <c r="W218" i="5" s="1"/>
  <c r="W186" i="5"/>
  <c r="W197" i="5" s="1"/>
  <c r="W203" i="5" s="1"/>
  <c r="AA194" i="5"/>
  <c r="AA200" i="5" s="1"/>
  <c r="Y75" i="5"/>
  <c r="Y15" i="8" s="1"/>
  <c r="Y16" i="8" s="1"/>
  <c r="DJ16" i="8" s="1"/>
  <c r="W226" i="5"/>
  <c r="W234" i="5" s="1"/>
  <c r="W172" i="5" s="1"/>
  <c r="W178" i="5" s="1"/>
  <c r="AC64" i="5"/>
  <c r="AC189" i="5" s="1"/>
  <c r="AC198" i="5" s="1"/>
  <c r="AA105" i="5"/>
  <c r="AA189" i="5"/>
  <c r="AA198" i="5" s="1"/>
  <c r="AA201" i="5"/>
  <c r="AA68" i="5"/>
  <c r="AA75" i="5" s="1"/>
  <c r="Q144" i="5"/>
  <c r="Q168" i="5" s="1"/>
  <c r="Q548" i="5"/>
  <c r="Q8" i="8"/>
  <c r="DB8" i="8" s="1"/>
  <c r="E13" i="16"/>
  <c r="U210" i="5"/>
  <c r="U211" i="5"/>
  <c r="U22" i="8"/>
  <c r="U27" i="8" s="1"/>
  <c r="DF27" i="8" s="1"/>
  <c r="K207" i="2"/>
  <c r="Q136" i="5"/>
  <c r="F299" i="2"/>
  <c r="F300" i="2"/>
  <c r="F124" i="2"/>
  <c r="K215" i="2"/>
  <c r="N13" i="5"/>
  <c r="S459" i="5"/>
  <c r="S152" i="5" s="1"/>
  <c r="S154" i="5" s="1"/>
  <c r="K245" i="6"/>
  <c r="Q409" i="5"/>
  <c r="U135" i="5"/>
  <c r="W7" i="8"/>
  <c r="DH7" i="8" s="1"/>
  <c r="W371" i="5"/>
  <c r="W372" i="5" s="1"/>
  <c r="W307" i="5" s="1"/>
  <c r="W366" i="5"/>
  <c r="W367" i="5" s="1"/>
  <c r="W291" i="5" s="1"/>
  <c r="W361" i="5"/>
  <c r="W362" i="5" s="1"/>
  <c r="W134" i="5"/>
  <c r="W238" i="5"/>
  <c r="W116" i="5" s="1"/>
  <c r="G176" i="2"/>
  <c r="O168" i="5"/>
  <c r="K190" i="2"/>
  <c r="R438" i="5"/>
  <c r="S313" i="5"/>
  <c r="Y199" i="5"/>
  <c r="AA191" i="5"/>
  <c r="S346" i="5"/>
  <c r="S347" i="5" s="1"/>
  <c r="S259" i="5"/>
  <c r="K382" i="2"/>
  <c r="O545" i="5"/>
  <c r="O542" i="5"/>
  <c r="O17" i="5"/>
  <c r="O12" i="5" a="1"/>
  <c r="O12" i="5" s="1"/>
  <c r="O14" i="5" s="1"/>
  <c r="O11" i="5" a="1"/>
  <c r="O11" i="5" s="1"/>
  <c r="P8" i="5"/>
  <c r="L201" i="6" s="1"/>
  <c r="O15" i="5"/>
  <c r="O10" i="5" a="1"/>
  <c r="O10" i="5" s="1"/>
  <c r="U425" i="5"/>
  <c r="V414" i="5"/>
  <c r="R465" i="5"/>
  <c r="S466" i="5"/>
  <c r="Q478" i="5"/>
  <c r="Q479" i="5" s="1"/>
  <c r="Q497" i="5" s="1"/>
  <c r="Q483" i="5"/>
  <c r="Q484" i="5" s="1"/>
  <c r="Q499" i="5" s="1"/>
  <c r="U165" i="5"/>
  <c r="U164" i="5"/>
  <c r="U549" i="5" s="1"/>
  <c r="U350" i="5"/>
  <c r="Y106" i="5"/>
  <c r="Y133" i="5" s="1"/>
  <c r="Y110" i="5"/>
  <c r="Y112" i="5" s="1"/>
  <c r="Y142" i="5" s="1"/>
  <c r="Y167" i="5" s="1"/>
  <c r="T453" i="5"/>
  <c r="T457" i="5"/>
  <c r="T458" i="5" s="1"/>
  <c r="S455" i="5"/>
  <c r="S448" i="5" s="1"/>
  <c r="S450" i="5" s="1"/>
  <c r="S296" i="5" s="1"/>
  <c r="R493" i="5"/>
  <c r="S487" i="5"/>
  <c r="S492" i="5" s="1"/>
  <c r="O114" i="2"/>
  <c r="P115" i="2"/>
  <c r="R309" i="5"/>
  <c r="R429" i="5" s="1"/>
  <c r="S119" i="5"/>
  <c r="S135" i="5"/>
  <c r="L294" i="6"/>
  <c r="K285" i="2"/>
  <c r="T318" i="5"/>
  <c r="P7" i="6"/>
  <c r="K380" i="2"/>
  <c r="N8" i="4"/>
  <c r="N2" i="4" s="1"/>
  <c r="F5" i="16" s="1"/>
  <c r="F13" i="16" s="1"/>
  <c r="R435" i="5"/>
  <c r="R407" i="5"/>
  <c r="S310" i="5"/>
  <c r="U401" i="5"/>
  <c r="U403" i="5" s="1"/>
  <c r="T319" i="5"/>
  <c r="Z199" i="5"/>
  <c r="AB191" i="5"/>
  <c r="O11" i="4"/>
  <c r="O5" i="4" a="1"/>
  <c r="O5" i="4" s="1"/>
  <c r="O13" i="4"/>
  <c r="O7" i="4" a="1"/>
  <c r="O7" i="4" s="1"/>
  <c r="O10" i="4" s="1"/>
  <c r="P3" i="4"/>
  <c r="O6" i="4" a="1"/>
  <c r="O6" i="4" s="1"/>
  <c r="N9" i="4"/>
  <c r="S320" i="5"/>
  <c r="R408" i="5"/>
  <c r="N338" i="2"/>
  <c r="N3" i="2"/>
  <c r="S328" i="5"/>
  <c r="O505" i="5"/>
  <c r="O502" i="5"/>
  <c r="O501" i="5"/>
  <c r="O507" i="5"/>
  <c r="P496" i="5"/>
  <c r="P500" i="5" s="1"/>
  <c r="U376" i="5"/>
  <c r="U290" i="5"/>
  <c r="T300" i="2"/>
  <c r="AC364" i="2"/>
  <c r="AC168" i="2"/>
  <c r="AC370" i="2"/>
  <c r="AC358" i="2"/>
  <c r="AC372" i="2"/>
  <c r="U176" i="2"/>
  <c r="AC268" i="2"/>
  <c r="AC355" i="2"/>
  <c r="AC292" i="2"/>
  <c r="Y215" i="2"/>
  <c r="AC225" i="2"/>
  <c r="AC346" i="2"/>
  <c r="AC371" i="2"/>
  <c r="AC342" i="2"/>
  <c r="AC153" i="2"/>
  <c r="AC352" i="2"/>
  <c r="AC166" i="2"/>
  <c r="AC356" i="2"/>
  <c r="AC243" i="2"/>
  <c r="AC348" i="2"/>
  <c r="AC150" i="2"/>
  <c r="Y380" i="2"/>
  <c r="AC144" i="2"/>
  <c r="AC357" i="2"/>
  <c r="AC289" i="2"/>
  <c r="T124" i="2"/>
  <c r="AC329" i="2"/>
  <c r="AC337" i="2"/>
  <c r="AC170" i="2"/>
  <c r="AC366" i="2"/>
  <c r="AC260" i="2"/>
  <c r="AC214" i="2"/>
  <c r="AC164" i="2"/>
  <c r="AC373" i="2"/>
  <c r="AC354" i="2"/>
  <c r="AC175" i="2"/>
  <c r="AC146" i="2"/>
  <c r="AC369" i="2"/>
  <c r="AC353" i="2"/>
  <c r="AC148" i="2"/>
  <c r="AC206" i="2"/>
  <c r="AC365" i="2"/>
  <c r="AC304" i="2"/>
  <c r="AC151" i="2"/>
  <c r="AC288" i="2"/>
  <c r="AC351" i="2"/>
  <c r="AC330" i="2"/>
  <c r="AC161" i="2"/>
  <c r="AC152" i="2"/>
  <c r="T299" i="2"/>
  <c r="AC255" i="2"/>
  <c r="AC343" i="2"/>
  <c r="AC155" i="2"/>
  <c r="AC257" i="2"/>
  <c r="AC350" i="2"/>
  <c r="AC367" i="2"/>
  <c r="AC205" i="2"/>
  <c r="AC305" i="2"/>
  <c r="AC211" i="2"/>
  <c r="AC188" i="2"/>
  <c r="Y207" i="2"/>
  <c r="AC185" i="2"/>
  <c r="AC270" i="2"/>
  <c r="AC344" i="2"/>
  <c r="Y190" i="2"/>
  <c r="AC160" i="2"/>
  <c r="AC173" i="2"/>
  <c r="AC378" i="2"/>
  <c r="AC291" i="2"/>
  <c r="Y285" i="2"/>
  <c r="Y194" i="2"/>
  <c r="AC368" i="2"/>
  <c r="AC345" i="2"/>
  <c r="AC359" i="2"/>
  <c r="Y382" i="2"/>
  <c r="AC290" i="2"/>
  <c r="AC210" i="2"/>
  <c r="AC347" i="2"/>
  <c r="AC145" i="2"/>
  <c r="U253" i="5" l="1"/>
  <c r="S253" i="5"/>
  <c r="S249" i="5"/>
  <c r="U117" i="5"/>
  <c r="U119" i="5" s="1"/>
  <c r="L207" i="6"/>
  <c r="L194" i="2" s="1"/>
  <c r="Y186" i="5"/>
  <c r="Y197" i="5" s="1"/>
  <c r="Y203" i="5" s="1"/>
  <c r="Y113" i="5" s="1"/>
  <c r="Y115" i="5" s="1"/>
  <c r="Y226" i="5"/>
  <c r="Y24" i="8" s="1"/>
  <c r="Y29" i="8" s="1"/>
  <c r="DJ29" i="8" s="1"/>
  <c r="Y217" i="5"/>
  <c r="Y23" i="8" s="1"/>
  <c r="Y28" i="8" s="1"/>
  <c r="DJ28" i="8" s="1"/>
  <c r="Y76" i="5"/>
  <c r="Y208" i="5"/>
  <c r="W23" i="8"/>
  <c r="W28" i="8" s="1"/>
  <c r="DH28" i="8" s="1"/>
  <c r="W24" i="8"/>
  <c r="W29" i="8" s="1"/>
  <c r="DH29" i="8" s="1"/>
  <c r="W227" i="5"/>
  <c r="W229" i="5" s="1"/>
  <c r="W117" i="5" s="1"/>
  <c r="AC194" i="5"/>
  <c r="AC200" i="5" s="1"/>
  <c r="N7" i="5"/>
  <c r="N5" i="8" s="1"/>
  <c r="N20" i="8" s="1"/>
  <c r="AC68" i="5"/>
  <c r="AC71" i="5"/>
  <c r="AC109" i="5" s="1"/>
  <c r="AC201" i="5"/>
  <c r="AE64" i="5"/>
  <c r="AE105" i="5" s="1"/>
  <c r="AC105" i="5"/>
  <c r="AA108" i="5"/>
  <c r="AA110" i="5" s="1"/>
  <c r="AA112" i="5" s="1"/>
  <c r="AA142" i="5" s="1"/>
  <c r="AA167" i="5" s="1"/>
  <c r="AA13" i="8"/>
  <c r="AA14" i="8" s="1"/>
  <c r="DL14" i="8" s="1"/>
  <c r="G298" i="2"/>
  <c r="L226" i="6"/>
  <c r="L234" i="6"/>
  <c r="L222" i="2" s="1"/>
  <c r="F136" i="2" a="1"/>
  <c r="F136" i="2" s="1"/>
  <c r="F301" i="2"/>
  <c r="K216" i="2"/>
  <c r="L224" i="6"/>
  <c r="L212" i="2" s="1"/>
  <c r="O9" i="4"/>
  <c r="L228" i="6"/>
  <c r="L220" i="6"/>
  <c r="L295" i="6"/>
  <c r="L296" i="6" s="1"/>
  <c r="L287" i="2" s="1"/>
  <c r="L227" i="6"/>
  <c r="L213" i="2" s="1"/>
  <c r="L229" i="6"/>
  <c r="O13" i="5"/>
  <c r="L203" i="6"/>
  <c r="L302" i="6"/>
  <c r="L18" i="2" s="1"/>
  <c r="Q7" i="6"/>
  <c r="V425" i="5"/>
  <c r="W414" i="5"/>
  <c r="S438" i="5"/>
  <c r="T313" i="5"/>
  <c r="P114" i="2"/>
  <c r="Q115" i="2"/>
  <c r="G177" i="2"/>
  <c r="AA199" i="5"/>
  <c r="AC191" i="5"/>
  <c r="T459" i="5"/>
  <c r="T152" i="5" s="1"/>
  <c r="T154" i="5" s="1"/>
  <c r="S309" i="5"/>
  <c r="S429" i="5" s="1"/>
  <c r="T455" i="5"/>
  <c r="T448" i="5" s="1"/>
  <c r="T450" i="5" s="1"/>
  <c r="T296" i="5" s="1"/>
  <c r="U453" i="5"/>
  <c r="U457" i="5"/>
  <c r="U458" i="5" s="1"/>
  <c r="V350" i="5"/>
  <c r="U353" i="5"/>
  <c r="W376" i="5"/>
  <c r="W290" i="5"/>
  <c r="P505" i="5"/>
  <c r="L298" i="6" s="1"/>
  <c r="L286" i="2" s="1"/>
  <c r="P502" i="5"/>
  <c r="P501" i="5"/>
  <c r="P507" i="5"/>
  <c r="L299" i="6" s="1"/>
  <c r="Q496" i="5"/>
  <c r="Q500" i="5" s="1"/>
  <c r="O338" i="2"/>
  <c r="O3" i="2"/>
  <c r="P545" i="5"/>
  <c r="P542" i="5"/>
  <c r="P15" i="5"/>
  <c r="P11" i="5" a="1"/>
  <c r="P11" i="5" s="1"/>
  <c r="Q8" i="5"/>
  <c r="P10" i="5" a="1"/>
  <c r="P10" i="5" s="1"/>
  <c r="P12" i="5" a="1"/>
  <c r="P12" i="5" s="1"/>
  <c r="P14" i="5" s="1"/>
  <c r="P17" i="5"/>
  <c r="L216" i="6"/>
  <c r="L231" i="6"/>
  <c r="L217" i="6"/>
  <c r="L237" i="6"/>
  <c r="L227" i="2" s="1"/>
  <c r="L225" i="6"/>
  <c r="L209" i="2" s="1"/>
  <c r="L204" i="6"/>
  <c r="L192" i="2" s="1"/>
  <c r="L219" i="6"/>
  <c r="L206" i="6"/>
  <c r="L191" i="2" s="1"/>
  <c r="R409" i="5"/>
  <c r="Y7" i="8"/>
  <c r="DJ7" i="8" s="1"/>
  <c r="Y371" i="5"/>
  <c r="Y372" i="5" s="1"/>
  <c r="Y307" i="5" s="1"/>
  <c r="Y366" i="5"/>
  <c r="Y367" i="5" s="1"/>
  <c r="Y291" i="5" s="1"/>
  <c r="Y361" i="5"/>
  <c r="Y362" i="5" s="1"/>
  <c r="Y238" i="5"/>
  <c r="Y116" i="5" s="1"/>
  <c r="Y134" i="5"/>
  <c r="S8" i="8"/>
  <c r="DD8" i="8" s="1"/>
  <c r="S548" i="5"/>
  <c r="S136" i="5"/>
  <c r="S144" i="5"/>
  <c r="V401" i="5"/>
  <c r="V403" i="5" s="1"/>
  <c r="U319" i="5"/>
  <c r="S435" i="5"/>
  <c r="S407" i="5"/>
  <c r="T310" i="5"/>
  <c r="P5" i="4" a="1"/>
  <c r="P5" i="4" s="1"/>
  <c r="P13" i="4"/>
  <c r="P6" i="4" a="1"/>
  <c r="P6" i="4" s="1"/>
  <c r="P11" i="4"/>
  <c r="Q3" i="4"/>
  <c r="P7" i="4" a="1"/>
  <c r="P7" i="4" s="1"/>
  <c r="P10" i="4" s="1"/>
  <c r="U8" i="8"/>
  <c r="DF8" i="8" s="1"/>
  <c r="U548" i="5"/>
  <c r="U144" i="5"/>
  <c r="U136" i="5"/>
  <c r="W22" i="8"/>
  <c r="W27" i="8" s="1"/>
  <c r="DH27" i="8" s="1"/>
  <c r="W210" i="5"/>
  <c r="W113" i="5"/>
  <c r="W115" i="5" s="1"/>
  <c r="W211" i="5"/>
  <c r="S408" i="5"/>
  <c r="T320" i="5"/>
  <c r="T325" i="5" s="1"/>
  <c r="S325" i="5"/>
  <c r="L202" i="6"/>
  <c r="L197" i="6"/>
  <c r="L186" i="2" s="1"/>
  <c r="L215" i="6"/>
  <c r="L204" i="2" s="1"/>
  <c r="AB199" i="5"/>
  <c r="AD191" i="5"/>
  <c r="O8" i="4"/>
  <c r="O2" i="4" s="1"/>
  <c r="G5" i="16" s="1"/>
  <c r="W164" i="5"/>
  <c r="W549" i="5" s="1"/>
  <c r="W165" i="5"/>
  <c r="AA15" i="8"/>
  <c r="AA16" i="8" s="1"/>
  <c r="DL16" i="8" s="1"/>
  <c r="AA217" i="5"/>
  <c r="AA76" i="5"/>
  <c r="AA186" i="5"/>
  <c r="AA197" i="5" s="1"/>
  <c r="AA226" i="5"/>
  <c r="AA208" i="5"/>
  <c r="U318" i="5"/>
  <c r="T487" i="5"/>
  <c r="T492" i="5" s="1"/>
  <c r="S493" i="5"/>
  <c r="S465" i="5"/>
  <c r="T466" i="5"/>
  <c r="R478" i="5"/>
  <c r="R479" i="5" s="1"/>
  <c r="R497" i="5" s="1"/>
  <c r="R483" i="5"/>
  <c r="R484" i="5" s="1"/>
  <c r="R499" i="5" s="1"/>
  <c r="S551" i="5"/>
  <c r="S265" i="5"/>
  <c r="T328" i="5"/>
  <c r="L218" i="6"/>
  <c r="Z194" i="2"/>
  <c r="AD291" i="2"/>
  <c r="T301" i="2"/>
  <c r="AD160" i="2"/>
  <c r="AD354" i="2"/>
  <c r="Z287" i="2"/>
  <c r="AD359" i="2"/>
  <c r="AD255" i="2"/>
  <c r="AD365" i="2"/>
  <c r="AD290" i="2"/>
  <c r="AD243" i="2"/>
  <c r="AD373" i="2"/>
  <c r="AD260" i="2"/>
  <c r="Y216" i="2"/>
  <c r="AD356" i="2"/>
  <c r="AD173" i="2"/>
  <c r="AD151" i="2"/>
  <c r="AD146" i="2"/>
  <c r="AD161" i="2"/>
  <c r="AD372" i="2"/>
  <c r="AD288" i="2"/>
  <c r="AD344" i="2"/>
  <c r="AD343" i="2"/>
  <c r="Z186" i="2"/>
  <c r="AD346" i="2"/>
  <c r="AD305" i="2"/>
  <c r="AD355" i="2"/>
  <c r="AD342" i="2"/>
  <c r="AD368" i="2"/>
  <c r="AD304" i="2"/>
  <c r="Z204" i="2"/>
  <c r="AD205" i="2"/>
  <c r="AD145" i="2"/>
  <c r="Z286" i="2"/>
  <c r="AD150" i="2"/>
  <c r="AD152" i="2"/>
  <c r="AD214" i="2"/>
  <c r="Z209" i="2"/>
  <c r="AD330" i="2"/>
  <c r="AD345" i="2"/>
  <c r="U298" i="2"/>
  <c r="AD164" i="2"/>
  <c r="AD210" i="2"/>
  <c r="AD166" i="2"/>
  <c r="AD168" i="2"/>
  <c r="AD225" i="2"/>
  <c r="AD348" i="2"/>
  <c r="AD144" i="2"/>
  <c r="AD347" i="2"/>
  <c r="AD270" i="2"/>
  <c r="AD257" i="2"/>
  <c r="AD353" i="2"/>
  <c r="AD268" i="2"/>
  <c r="Z213" i="2"/>
  <c r="Z222" i="2"/>
  <c r="AD292" i="2"/>
  <c r="AD357" i="2"/>
  <c r="AD170" i="2"/>
  <c r="Z192" i="2"/>
  <c r="AD206" i="2"/>
  <c r="AD364" i="2"/>
  <c r="AD378" i="2"/>
  <c r="AD350" i="2"/>
  <c r="AD369" i="2"/>
  <c r="Z227" i="2"/>
  <c r="AD367" i="2"/>
  <c r="AD329" i="2"/>
  <c r="AD366" i="2"/>
  <c r="AD155" i="2"/>
  <c r="AD351" i="2"/>
  <c r="T136" i="2"/>
  <c r="AD153" i="2"/>
  <c r="AD185" i="2"/>
  <c r="AD211" i="2"/>
  <c r="AD352" i="2"/>
  <c r="AD289" i="2"/>
  <c r="Z189" i="2"/>
  <c r="AD337" i="2"/>
  <c r="AD371" i="2"/>
  <c r="Z212" i="2"/>
  <c r="AD188" i="2"/>
  <c r="AD358" i="2"/>
  <c r="AD148" i="2"/>
  <c r="Z191" i="2"/>
  <c r="AD175" i="2"/>
  <c r="AD370" i="2"/>
  <c r="W253" i="5" l="1"/>
  <c r="U249" i="5"/>
  <c r="Y234" i="5"/>
  <c r="Y172" i="5" s="1"/>
  <c r="Y178" i="5" s="1"/>
  <c r="Y165" i="5" s="1"/>
  <c r="Y227" i="5"/>
  <c r="Y229" i="5" s="1"/>
  <c r="Y231" i="5" s="1"/>
  <c r="Y218" i="5"/>
  <c r="AE68" i="5"/>
  <c r="AE108" i="5" s="1"/>
  <c r="AE201" i="5"/>
  <c r="AG64" i="5"/>
  <c r="AG105" i="5" s="1"/>
  <c r="AE71" i="5"/>
  <c r="AE109" i="5" s="1"/>
  <c r="AC75" i="5"/>
  <c r="AC186" i="5" s="1"/>
  <c r="AC197" i="5" s="1"/>
  <c r="AC108" i="5"/>
  <c r="AC106" i="5" s="1"/>
  <c r="AC133" i="5" s="1"/>
  <c r="AA106" i="5"/>
  <c r="AA133" i="5" s="1"/>
  <c r="W231" i="5"/>
  <c r="AE189" i="5"/>
  <c r="AE198" i="5" s="1"/>
  <c r="AE194" i="5"/>
  <c r="AE200" i="5" s="1"/>
  <c r="O7" i="5"/>
  <c r="O5" i="8" s="1"/>
  <c r="O20" i="8" s="1"/>
  <c r="G13" i="16"/>
  <c r="L207" i="2"/>
  <c r="Y210" i="5"/>
  <c r="Y211" i="5"/>
  <c r="L215" i="2"/>
  <c r="L285" i="2"/>
  <c r="M294" i="6"/>
  <c r="Y22" i="8"/>
  <c r="Y27" i="8" s="1"/>
  <c r="DJ27" i="8" s="1"/>
  <c r="L190" i="2"/>
  <c r="U459" i="5"/>
  <c r="U152" i="5" s="1"/>
  <c r="U154" i="5" s="1"/>
  <c r="P13" i="5"/>
  <c r="P8" i="4"/>
  <c r="P2" i="4" s="1"/>
  <c r="H5" i="16" s="1"/>
  <c r="AA203" i="5"/>
  <c r="AA22" i="8" s="1"/>
  <c r="AA27" i="8" s="1"/>
  <c r="DL27" i="8" s="1"/>
  <c r="AA7" i="8"/>
  <c r="DL7" i="8" s="1"/>
  <c r="AA371" i="5"/>
  <c r="AA372" i="5" s="1"/>
  <c r="AA307" i="5" s="1"/>
  <c r="AA366" i="5"/>
  <c r="AA367" i="5" s="1"/>
  <c r="AA291" i="5" s="1"/>
  <c r="AA361" i="5"/>
  <c r="AA362" i="5" s="1"/>
  <c r="AA238" i="5"/>
  <c r="AA116" i="5" s="1"/>
  <c r="AA134" i="5"/>
  <c r="V453" i="5"/>
  <c r="V457" i="5"/>
  <c r="V458" i="5" s="1"/>
  <c r="U455" i="5"/>
  <c r="U448" i="5" s="1"/>
  <c r="U450" i="5" s="1"/>
  <c r="U296" i="5" s="1"/>
  <c r="U487" i="5"/>
  <c r="U492" i="5" s="1"/>
  <c r="T493" i="5"/>
  <c r="AA24" i="8"/>
  <c r="AA29" i="8" s="1"/>
  <c r="DL29" i="8" s="1"/>
  <c r="AA234" i="5"/>
  <c r="AA172" i="5" s="1"/>
  <c r="AA178" i="5" s="1"/>
  <c r="L245" i="6"/>
  <c r="T309" i="5"/>
  <c r="T429" i="5" s="1"/>
  <c r="T435" i="5"/>
  <c r="T407" i="5"/>
  <c r="U310" i="5"/>
  <c r="L382" i="2"/>
  <c r="Q5" i="4" a="1"/>
  <c r="Q5" i="4" s="1"/>
  <c r="Q11" i="4"/>
  <c r="R3" i="4"/>
  <c r="Q6" i="4" a="1"/>
  <c r="Q6" i="4" s="1"/>
  <c r="Q7" i="4" a="1"/>
  <c r="Q7" i="4" s="1"/>
  <c r="Q10" i="4" s="1"/>
  <c r="Q13" i="4"/>
  <c r="S409" i="5"/>
  <c r="Y135" i="5"/>
  <c r="Q545" i="5"/>
  <c r="Q542" i="5"/>
  <c r="Q11" i="5" a="1"/>
  <c r="Q11" i="5" s="1"/>
  <c r="Q15" i="5"/>
  <c r="R8" i="5"/>
  <c r="M201" i="6" s="1"/>
  <c r="Q10" i="5" a="1"/>
  <c r="Q10" i="5" s="1"/>
  <c r="Q17" i="5"/>
  <c r="Q12" i="5" a="1"/>
  <c r="Q12" i="5" s="1"/>
  <c r="Q14" i="5" s="1"/>
  <c r="AD199" i="5"/>
  <c r="AF191" i="5"/>
  <c r="P9" i="4"/>
  <c r="W401" i="5"/>
  <c r="W403" i="5" s="1"/>
  <c r="V319" i="5"/>
  <c r="Y376" i="5"/>
  <c r="Y290" i="5"/>
  <c r="T408" i="5"/>
  <c r="U320" i="5"/>
  <c r="U325" i="5" s="1"/>
  <c r="W135" i="5"/>
  <c r="W119" i="5"/>
  <c r="AA23" i="8"/>
  <c r="AA28" i="8" s="1"/>
  <c r="DL28" i="8" s="1"/>
  <c r="AA218" i="5"/>
  <c r="AA227" i="5"/>
  <c r="AA229" i="5" s="1"/>
  <c r="P338" i="2"/>
  <c r="P3" i="2"/>
  <c r="S168" i="5"/>
  <c r="AC199" i="5"/>
  <c r="AE191" i="5"/>
  <c r="X414" i="5"/>
  <c r="W425" i="5"/>
  <c r="U328" i="5"/>
  <c r="L380" i="2"/>
  <c r="T465" i="5"/>
  <c r="U466" i="5"/>
  <c r="G299" i="2"/>
  <c r="G300" i="2"/>
  <c r="G124" i="2"/>
  <c r="S478" i="5"/>
  <c r="S479" i="5" s="1"/>
  <c r="S497" i="5" s="1"/>
  <c r="S483" i="5"/>
  <c r="S484" i="5" s="1"/>
  <c r="S499" i="5" s="1"/>
  <c r="U168" i="5"/>
  <c r="Q505" i="5"/>
  <c r="Q502" i="5"/>
  <c r="Q501" i="5"/>
  <c r="Q507" i="5"/>
  <c r="R496" i="5"/>
  <c r="R500" i="5" s="1"/>
  <c r="U346" i="5"/>
  <c r="U347" i="5" s="1"/>
  <c r="U259" i="5"/>
  <c r="Q114" i="2"/>
  <c r="T438" i="5"/>
  <c r="U313" i="5"/>
  <c r="V318" i="5"/>
  <c r="W350" i="5"/>
  <c r="Z380" i="2"/>
  <c r="U300" i="2"/>
  <c r="AE346" i="2"/>
  <c r="AE188" i="2"/>
  <c r="AE214" i="2"/>
  <c r="AE369" i="2"/>
  <c r="AE270" i="2"/>
  <c r="AE353" i="2"/>
  <c r="AE365" i="2"/>
  <c r="AE206" i="2"/>
  <c r="AE166" i="2"/>
  <c r="AE305" i="2"/>
  <c r="AE343" i="2"/>
  <c r="Z382" i="2"/>
  <c r="AE145" i="2"/>
  <c r="AE364" i="2"/>
  <c r="AE148" i="2"/>
  <c r="Z190" i="2"/>
  <c r="AE357" i="2"/>
  <c r="AE368" i="2"/>
  <c r="AE348" i="2"/>
  <c r="AE161" i="2"/>
  <c r="AE366" i="2"/>
  <c r="AE155" i="2"/>
  <c r="AE350" i="2"/>
  <c r="AE354" i="2"/>
  <c r="AE358" i="2"/>
  <c r="AE268" i="2"/>
  <c r="AE288" i="2"/>
  <c r="AE359" i="2"/>
  <c r="AE144" i="2"/>
  <c r="AE329" i="2"/>
  <c r="U124" i="2"/>
  <c r="AE370" i="2"/>
  <c r="AE205" i="2"/>
  <c r="AE225" i="2"/>
  <c r="AE260" i="2"/>
  <c r="Z285" i="2"/>
  <c r="AE170" i="2"/>
  <c r="Z215" i="2"/>
  <c r="AE355" i="2"/>
  <c r="AE211" i="2"/>
  <c r="AE352" i="2"/>
  <c r="U299" i="2"/>
  <c r="AE289" i="2"/>
  <c r="AE367" i="2"/>
  <c r="AE152" i="2"/>
  <c r="AE356" i="2"/>
  <c r="AE373" i="2"/>
  <c r="AE175" i="2"/>
  <c r="AE337" i="2"/>
  <c r="AE342" i="2"/>
  <c r="AE378" i="2"/>
  <c r="AE372" i="2"/>
  <c r="AE304" i="2"/>
  <c r="AE243" i="2"/>
  <c r="AE347" i="2"/>
  <c r="AE257" i="2"/>
  <c r="AE344" i="2"/>
  <c r="Z207" i="2"/>
  <c r="AE164" i="2"/>
  <c r="AE160" i="2"/>
  <c r="AE345" i="2"/>
  <c r="AE173" i="2"/>
  <c r="AE351" i="2"/>
  <c r="AE150" i="2"/>
  <c r="AE151" i="2"/>
  <c r="AE371" i="2"/>
  <c r="AE185" i="2"/>
  <c r="AE255" i="2"/>
  <c r="AE291" i="2"/>
  <c r="AE146" i="2"/>
  <c r="AE290" i="2"/>
  <c r="AE330" i="2"/>
  <c r="AE292" i="2"/>
  <c r="AE168" i="2"/>
  <c r="AE210" i="2"/>
  <c r="AE153" i="2"/>
  <c r="W249" i="5" l="1"/>
  <c r="Y164" i="5"/>
  <c r="Y549" i="5" s="1"/>
  <c r="Y117" i="5"/>
  <c r="Y119" i="5" s="1"/>
  <c r="AC110" i="5"/>
  <c r="AC112" i="5" s="1"/>
  <c r="AG189" i="5"/>
  <c r="AG198" i="5" s="1"/>
  <c r="AC217" i="5"/>
  <c r="AC218" i="5" s="1"/>
  <c r="AG194" i="5"/>
  <c r="AG200" i="5" s="1"/>
  <c r="AG201" i="5"/>
  <c r="AG68" i="5"/>
  <c r="AG71" i="5"/>
  <c r="AG109" i="5" s="1"/>
  <c r="M207" i="6"/>
  <c r="M194" i="2" s="1"/>
  <c r="AI64" i="5"/>
  <c r="AI201" i="5" s="1"/>
  <c r="M215" i="6"/>
  <c r="M204" i="2" s="1"/>
  <c r="AC76" i="5"/>
  <c r="AC226" i="5"/>
  <c r="AC234" i="5" s="1"/>
  <c r="AC172" i="5" s="1"/>
  <c r="AC178" i="5" s="1"/>
  <c r="AE75" i="5"/>
  <c r="AE186" i="5" s="1"/>
  <c r="AE197" i="5" s="1"/>
  <c r="AC208" i="5"/>
  <c r="P7" i="5"/>
  <c r="P5" i="8" s="1"/>
  <c r="P20" i="8" s="1"/>
  <c r="H13" i="16"/>
  <c r="L216" i="2"/>
  <c r="Q13" i="5"/>
  <c r="AC203" i="5"/>
  <c r="AC113" i="5" s="1"/>
  <c r="AA211" i="5"/>
  <c r="AA210" i="5"/>
  <c r="AA113" i="5"/>
  <c r="AA115" i="5" s="1"/>
  <c r="AA135" i="5" s="1"/>
  <c r="M197" i="6"/>
  <c r="M186" i="2" s="1"/>
  <c r="M204" i="6"/>
  <c r="M192" i="2" s="1"/>
  <c r="M216" i="6"/>
  <c r="AA231" i="5"/>
  <c r="AA117" i="5"/>
  <c r="Y8" i="8"/>
  <c r="DJ8" i="8" s="1"/>
  <c r="R545" i="5"/>
  <c r="R542" i="5"/>
  <c r="R15" i="5"/>
  <c r="S8" i="5"/>
  <c r="R10" i="5" a="1"/>
  <c r="R10" i="5" s="1"/>
  <c r="R17" i="5"/>
  <c r="R12" i="5" a="1"/>
  <c r="R12" i="5" s="1"/>
  <c r="R14" i="5" s="1"/>
  <c r="R11" i="5" a="1"/>
  <c r="R11" i="5" s="1"/>
  <c r="X401" i="5"/>
  <c r="X403" i="5" s="1"/>
  <c r="W319" i="5"/>
  <c r="AA164" i="5"/>
  <c r="AA549" i="5" s="1"/>
  <c r="AA165" i="5"/>
  <c r="Y414" i="5"/>
  <c r="X425" i="5"/>
  <c r="M231" i="6"/>
  <c r="M225" i="6"/>
  <c r="M209" i="2" s="1"/>
  <c r="M229" i="6"/>
  <c r="AE110" i="5"/>
  <c r="AE112" i="5" s="1"/>
  <c r="AE142" i="5" s="1"/>
  <c r="AE167" i="5" s="1"/>
  <c r="AE106" i="5"/>
  <c r="AE133" i="5" s="1"/>
  <c r="Q9" i="4"/>
  <c r="Q338" i="2"/>
  <c r="Q3" i="2"/>
  <c r="U265" i="5"/>
  <c r="U551" i="5"/>
  <c r="R5" i="4" a="1"/>
  <c r="R5" i="4" s="1"/>
  <c r="R13" i="4"/>
  <c r="R7" i="4" a="1"/>
  <c r="R7" i="4" s="1"/>
  <c r="R10" i="4" s="1"/>
  <c r="R11" i="4"/>
  <c r="S3" i="4"/>
  <c r="R6" i="4" a="1"/>
  <c r="R6" i="4" s="1"/>
  <c r="V487" i="5"/>
  <c r="V492" i="5" s="1"/>
  <c r="U493" i="5"/>
  <c r="W353" i="5"/>
  <c r="X350" i="5"/>
  <c r="U438" i="5"/>
  <c r="V313" i="5"/>
  <c r="R507" i="5"/>
  <c r="M299" i="6" s="1"/>
  <c r="R501" i="5"/>
  <c r="S496" i="5"/>
  <c r="S500" i="5" s="1"/>
  <c r="R502" i="5"/>
  <c r="R505" i="5"/>
  <c r="M298" i="6" s="1"/>
  <c r="M286" i="2" s="1"/>
  <c r="M206" i="6"/>
  <c r="M191" i="2" s="1"/>
  <c r="G136" i="2" a="1"/>
  <c r="G136" i="2" s="1"/>
  <c r="V466" i="5"/>
  <c r="U465" i="5"/>
  <c r="M226" i="6"/>
  <c r="M220" i="6"/>
  <c r="Q8" i="4"/>
  <c r="Q2" i="4" s="1"/>
  <c r="I5" i="16" s="1"/>
  <c r="U309" i="5"/>
  <c r="U429" i="5" s="1"/>
  <c r="W318" i="5"/>
  <c r="G301" i="2"/>
  <c r="T478" i="5"/>
  <c r="T479" i="5" s="1"/>
  <c r="T497" i="5" s="1"/>
  <c r="T483" i="5"/>
  <c r="T484" i="5" s="1"/>
  <c r="T499" i="5" s="1"/>
  <c r="M302" i="6"/>
  <c r="M18" i="2" s="1"/>
  <c r="M202" i="6"/>
  <c r="M295" i="6"/>
  <c r="AA376" i="5"/>
  <c r="AA290" i="5"/>
  <c r="AE199" i="5"/>
  <c r="AG191" i="5"/>
  <c r="M218" i="6"/>
  <c r="M234" i="6"/>
  <c r="M222" i="2" s="1"/>
  <c r="M227" i="6"/>
  <c r="M213" i="2" s="1"/>
  <c r="W8" i="8"/>
  <c r="DH8" i="8" s="1"/>
  <c r="W548" i="5"/>
  <c r="W136" i="5"/>
  <c r="W144" i="5"/>
  <c r="M217" i="6"/>
  <c r="M237" i="6"/>
  <c r="M227" i="2" s="1"/>
  <c r="AH191" i="5"/>
  <c r="AF199" i="5"/>
  <c r="M219" i="6"/>
  <c r="V459" i="5"/>
  <c r="V152" i="5" s="1"/>
  <c r="V154" i="5" s="1"/>
  <c r="M228" i="6"/>
  <c r="W453" i="5"/>
  <c r="V455" i="5"/>
  <c r="V448" i="5" s="1"/>
  <c r="V450" i="5" s="1"/>
  <c r="V296" i="5" s="1"/>
  <c r="W457" i="5"/>
  <c r="W458" i="5" s="1"/>
  <c r="AC361" i="5"/>
  <c r="AC362" i="5" s="1"/>
  <c r="V328" i="5"/>
  <c r="M224" i="6"/>
  <c r="M212" i="2" s="1"/>
  <c r="U435" i="5"/>
  <c r="V310" i="5"/>
  <c r="U407" i="5"/>
  <c r="U408" i="5"/>
  <c r="V320" i="5"/>
  <c r="M203" i="6"/>
  <c r="T409" i="5"/>
  <c r="AA191" i="2"/>
  <c r="AA212" i="2"/>
  <c r="AA213" i="2"/>
  <c r="AA194" i="2"/>
  <c r="AA189" i="2"/>
  <c r="U136" i="2"/>
  <c r="U301" i="2"/>
  <c r="AA192" i="2"/>
  <c r="Z216" i="2"/>
  <c r="AA209" i="2"/>
  <c r="AA227" i="2"/>
  <c r="AA286" i="2"/>
  <c r="AA186" i="2"/>
  <c r="AA204" i="2"/>
  <c r="AA222" i="2"/>
  <c r="AA253" i="5" l="1"/>
  <c r="Y253" i="5"/>
  <c r="Y249" i="5"/>
  <c r="Y548" i="5"/>
  <c r="Y136" i="5"/>
  <c r="AC227" i="5"/>
  <c r="Y144" i="5"/>
  <c r="AC134" i="5"/>
  <c r="AC142" i="5"/>
  <c r="AC167" i="5" s="1"/>
  <c r="AC229" i="5"/>
  <c r="AC371" i="5"/>
  <c r="AC372" i="5" s="1"/>
  <c r="AC307" i="5" s="1"/>
  <c r="AC366" i="5"/>
  <c r="AC367" i="5" s="1"/>
  <c r="AC291" i="5" s="1"/>
  <c r="AC115" i="5"/>
  <c r="AC135" i="5" s="1"/>
  <c r="AC238" i="5"/>
  <c r="AC116" i="5" s="1"/>
  <c r="AE76" i="5"/>
  <c r="AE217" i="5"/>
  <c r="AE218" i="5" s="1"/>
  <c r="AG75" i="5"/>
  <c r="AG208" i="5" s="1"/>
  <c r="AI194" i="5"/>
  <c r="AI200" i="5" s="1"/>
  <c r="AI105" i="5"/>
  <c r="AI71" i="5"/>
  <c r="AI109" i="5" s="1"/>
  <c r="AE226" i="5"/>
  <c r="AE234" i="5" s="1"/>
  <c r="AE172" i="5" s="1"/>
  <c r="AE178" i="5" s="1"/>
  <c r="AK64" i="5"/>
  <c r="AK189" i="5" s="1"/>
  <c r="AK198" i="5" s="1"/>
  <c r="AG108" i="5"/>
  <c r="AG106" i="5" s="1"/>
  <c r="AG133" i="5" s="1"/>
  <c r="AI189" i="5"/>
  <c r="AI198" i="5" s="1"/>
  <c r="AI68" i="5"/>
  <c r="AI108" i="5" s="1"/>
  <c r="AE208" i="5"/>
  <c r="Q7" i="5"/>
  <c r="Q5" i="8" s="1"/>
  <c r="Q20" i="8" s="1"/>
  <c r="AC211" i="5"/>
  <c r="AC210" i="5"/>
  <c r="I13" i="16"/>
  <c r="AA119" i="5"/>
  <c r="M207" i="2"/>
  <c r="R9" i="4"/>
  <c r="M380" i="2"/>
  <c r="AE203" i="5"/>
  <c r="AE211" i="5" s="1"/>
  <c r="M215" i="2"/>
  <c r="AE361" i="5"/>
  <c r="AE362" i="5" s="1"/>
  <c r="AE238" i="5"/>
  <c r="AE116" i="5" s="1"/>
  <c r="AE366" i="5"/>
  <c r="AE367" i="5" s="1"/>
  <c r="AE291" i="5" s="1"/>
  <c r="AE371" i="5"/>
  <c r="AE372" i="5" s="1"/>
  <c r="AE307" i="5" s="1"/>
  <c r="AE134" i="5"/>
  <c r="W459" i="5"/>
  <c r="W152" i="5" s="1"/>
  <c r="W154" i="5" s="1"/>
  <c r="AC231" i="5"/>
  <c r="AC117" i="5"/>
  <c r="Y168" i="5"/>
  <c r="X453" i="5"/>
  <c r="W455" i="5"/>
  <c r="W448" i="5" s="1"/>
  <c r="W450" i="5" s="1"/>
  <c r="W296" i="5" s="1"/>
  <c r="X457" i="5"/>
  <c r="X458" i="5" s="1"/>
  <c r="W328" i="5"/>
  <c r="AC165" i="5"/>
  <c r="AC164" i="5"/>
  <c r="AC549" i="5" s="1"/>
  <c r="Y425" i="5"/>
  <c r="Z414" i="5"/>
  <c r="V309" i="5"/>
  <c r="V429" i="5" s="1"/>
  <c r="S507" i="5"/>
  <c r="S501" i="5"/>
  <c r="T496" i="5"/>
  <c r="T500" i="5" s="1"/>
  <c r="S502" i="5"/>
  <c r="S505" i="5"/>
  <c r="S13" i="4"/>
  <c r="S6" i="4" a="1"/>
  <c r="S6" i="4" s="1"/>
  <c r="S11" i="4"/>
  <c r="T3" i="4"/>
  <c r="S7" i="4" a="1"/>
  <c r="S7" i="4" s="1"/>
  <c r="S10" i="4" s="1"/>
  <c r="S5" i="4" a="1"/>
  <c r="S5" i="4" s="1"/>
  <c r="AI191" i="5"/>
  <c r="AG199" i="5"/>
  <c r="Y350" i="5"/>
  <c r="N294" i="6"/>
  <c r="M285" i="2"/>
  <c r="M296" i="6"/>
  <c r="M287" i="2" s="1"/>
  <c r="V438" i="5"/>
  <c r="W313" i="5"/>
  <c r="W259" i="5"/>
  <c r="W346" i="5"/>
  <c r="W347" i="5" s="1"/>
  <c r="R8" i="4"/>
  <c r="R2" i="4" s="1"/>
  <c r="J5" i="16" s="1"/>
  <c r="W168" i="5"/>
  <c r="AJ191" i="5"/>
  <c r="AH199" i="5"/>
  <c r="R13" i="5"/>
  <c r="U409" i="5"/>
  <c r="AC290" i="5"/>
  <c r="X318" i="5"/>
  <c r="Y401" i="5"/>
  <c r="Y403" i="5" s="1"/>
  <c r="X319" i="5"/>
  <c r="V408" i="5"/>
  <c r="W320" i="5"/>
  <c r="M190" i="2"/>
  <c r="V325" i="5"/>
  <c r="M245" i="6"/>
  <c r="M382" i="2"/>
  <c r="W466" i="5"/>
  <c r="V465" i="5"/>
  <c r="V407" i="5"/>
  <c r="V435" i="5"/>
  <c r="W310" i="5"/>
  <c r="U478" i="5"/>
  <c r="U479" i="5" s="1"/>
  <c r="U497" i="5" s="1"/>
  <c r="U483" i="5"/>
  <c r="U484" i="5" s="1"/>
  <c r="U499" i="5" s="1"/>
  <c r="W487" i="5"/>
  <c r="W492" i="5" s="1"/>
  <c r="V493" i="5"/>
  <c r="S545" i="5"/>
  <c r="S542" i="5"/>
  <c r="S10" i="5" a="1"/>
  <c r="S10" i="5" s="1"/>
  <c r="T8" i="5"/>
  <c r="S12" i="5" a="1"/>
  <c r="S12" i="5" s="1"/>
  <c r="S14" i="5" s="1"/>
  <c r="S15" i="5"/>
  <c r="S17" i="5"/>
  <c r="S11" i="5" a="1"/>
  <c r="S11" i="5" s="1"/>
  <c r="AA287" i="2"/>
  <c r="AA285" i="2"/>
  <c r="AA190" i="2"/>
  <c r="AA207" i="2"/>
  <c r="AA215" i="2"/>
  <c r="AA380" i="2"/>
  <c r="AA382" i="2"/>
  <c r="AC253" i="5" l="1"/>
  <c r="AA249" i="5"/>
  <c r="AG226" i="5"/>
  <c r="AG234" i="5" s="1"/>
  <c r="AG172" i="5" s="1"/>
  <c r="AG178" i="5" s="1"/>
  <c r="AG217" i="5"/>
  <c r="AG218" i="5" s="1"/>
  <c r="AG186" i="5"/>
  <c r="AG197" i="5" s="1"/>
  <c r="AG203" i="5" s="1"/>
  <c r="AE227" i="5"/>
  <c r="AG76" i="5"/>
  <c r="AC376" i="5"/>
  <c r="AC119" i="5"/>
  <c r="AG110" i="5"/>
  <c r="AG112" i="5" s="1"/>
  <c r="AG142" i="5" s="1"/>
  <c r="AG167" i="5" s="1"/>
  <c r="AI75" i="5"/>
  <c r="AI208" i="5" s="1"/>
  <c r="AE229" i="5"/>
  <c r="AE117" i="5" s="1"/>
  <c r="AK194" i="5"/>
  <c r="AK200" i="5" s="1"/>
  <c r="AK105" i="5"/>
  <c r="AK68" i="5"/>
  <c r="AK108" i="5" s="1"/>
  <c r="AK201" i="5"/>
  <c r="AK71" i="5"/>
  <c r="AK109" i="5" s="1"/>
  <c r="N206" i="6"/>
  <c r="N191" i="2" s="1"/>
  <c r="R7" i="5"/>
  <c r="R5" i="8" s="1"/>
  <c r="R20" i="8" s="1"/>
  <c r="AE210" i="5"/>
  <c r="AE113" i="5"/>
  <c r="AE115" i="5" s="1"/>
  <c r="AE135" i="5" s="1"/>
  <c r="AA136" i="5"/>
  <c r="AA144" i="5"/>
  <c r="AA168" i="5" s="1"/>
  <c r="AA8" i="8"/>
  <c r="DL8" i="8" s="1"/>
  <c r="AA548" i="5"/>
  <c r="J13" i="16"/>
  <c r="N295" i="6"/>
  <c r="O294" i="6" s="1"/>
  <c r="S13" i="5"/>
  <c r="M216" i="2"/>
  <c r="X459" i="5"/>
  <c r="X152" i="5" s="1"/>
  <c r="X154" i="5" s="1"/>
  <c r="AK191" i="5"/>
  <c r="AK199" i="5" s="1"/>
  <c r="AI199" i="5"/>
  <c r="T13" i="4"/>
  <c r="T7" i="4" a="1"/>
  <c r="T7" i="4" s="1"/>
  <c r="T10" i="4" s="1"/>
  <c r="T6" i="4" a="1"/>
  <c r="T6" i="4" s="1"/>
  <c r="U3" i="4"/>
  <c r="T5" i="4" a="1"/>
  <c r="T5" i="4" s="1"/>
  <c r="T11" i="4"/>
  <c r="S9" i="4"/>
  <c r="W309" i="5"/>
  <c r="W429" i="5" s="1"/>
  <c r="X328" i="5"/>
  <c r="W465" i="5"/>
  <c r="X466" i="5"/>
  <c r="AE164" i="5"/>
  <c r="AE549" i="5" s="1"/>
  <c r="AE165" i="5"/>
  <c r="Y453" i="5"/>
  <c r="Y457" i="5"/>
  <c r="Y458" i="5" s="1"/>
  <c r="X455" i="5"/>
  <c r="X448" i="5" s="1"/>
  <c r="X450" i="5" s="1"/>
  <c r="X296" i="5" s="1"/>
  <c r="AA414" i="5"/>
  <c r="Z425" i="5"/>
  <c r="X487" i="5"/>
  <c r="X492" i="5" s="1"/>
  <c r="W493" i="5"/>
  <c r="W408" i="5"/>
  <c r="X320" i="5"/>
  <c r="X325" i="5" s="1"/>
  <c r="Z401" i="5"/>
  <c r="Z403" i="5" s="1"/>
  <c r="Y319" i="5"/>
  <c r="AJ199" i="5"/>
  <c r="AL191" i="5"/>
  <c r="AL199" i="5" s="1"/>
  <c r="AI106" i="5"/>
  <c r="AI133" i="5" s="1"/>
  <c r="AI110" i="5"/>
  <c r="AI112" i="5" s="1"/>
  <c r="AI142" i="5" s="1"/>
  <c r="AI167" i="5" s="1"/>
  <c r="W265" i="5"/>
  <c r="W551" i="5"/>
  <c r="Y318" i="5"/>
  <c r="W407" i="5"/>
  <c r="W435" i="5"/>
  <c r="X310" i="5"/>
  <c r="X313" i="5"/>
  <c r="W438" i="5"/>
  <c r="Z350" i="5"/>
  <c r="Y353" i="5"/>
  <c r="W325" i="5"/>
  <c r="T542" i="5"/>
  <c r="T545" i="5"/>
  <c r="T12" i="5" a="1"/>
  <c r="T12" i="5" s="1"/>
  <c r="T14" i="5" s="1"/>
  <c r="T15" i="5"/>
  <c r="T17" i="5"/>
  <c r="T10" i="5" a="1"/>
  <c r="T10" i="5" s="1"/>
  <c r="T11" i="5" a="1"/>
  <c r="T11" i="5" s="1"/>
  <c r="U8" i="5"/>
  <c r="N218" i="6"/>
  <c r="N231" i="6"/>
  <c r="N228" i="6"/>
  <c r="N227" i="6"/>
  <c r="N213" i="2" s="1"/>
  <c r="N202" i="6"/>
  <c r="N234" i="6"/>
  <c r="N222" i="2" s="1"/>
  <c r="N224" i="6"/>
  <c r="N212" i="2" s="1"/>
  <c r="N216" i="6"/>
  <c r="N302" i="6"/>
  <c r="N18" i="2" s="1"/>
  <c r="N220" i="6"/>
  <c r="N219" i="6"/>
  <c r="N215" i="6"/>
  <c r="N204" i="2" s="1"/>
  <c r="N229" i="6"/>
  <c r="N203" i="6"/>
  <c r="N225" i="6"/>
  <c r="N209" i="2" s="1"/>
  <c r="N204" i="6"/>
  <c r="N192" i="2" s="1"/>
  <c r="N226" i="6"/>
  <c r="N237" i="6"/>
  <c r="N227" i="2" s="1"/>
  <c r="N217" i="6"/>
  <c r="N197" i="6"/>
  <c r="N186" i="2" s="1"/>
  <c r="T507" i="5"/>
  <c r="U496" i="5"/>
  <c r="U500" i="5" s="1"/>
  <c r="T505" i="5"/>
  <c r="N298" i="6" s="1"/>
  <c r="N286" i="2" s="1"/>
  <c r="T501" i="5"/>
  <c r="T502" i="5"/>
  <c r="V478" i="5"/>
  <c r="V479" i="5" s="1"/>
  <c r="V497" i="5" s="1"/>
  <c r="V483" i="5"/>
  <c r="V484" i="5" s="1"/>
  <c r="V499" i="5" s="1"/>
  <c r="V409" i="5"/>
  <c r="S8" i="4"/>
  <c r="S2" i="4" s="1"/>
  <c r="K5" i="16" s="1"/>
  <c r="AE290" i="5"/>
  <c r="AE376" i="5"/>
  <c r="AB192" i="2"/>
  <c r="AB227" i="2"/>
  <c r="AB213" i="2"/>
  <c r="AB286" i="2"/>
  <c r="AB212" i="2"/>
  <c r="AB222" i="2"/>
  <c r="AB209" i="2"/>
  <c r="AB204" i="2"/>
  <c r="AB189" i="2"/>
  <c r="AB191" i="2"/>
  <c r="AB186" i="2"/>
  <c r="AA216" i="2"/>
  <c r="AG227" i="5" l="1"/>
  <c r="AG229" i="5" s="1"/>
  <c r="AE231" i="5"/>
  <c r="AE253" i="5"/>
  <c r="AC249" i="5"/>
  <c r="AG361" i="5"/>
  <c r="AG362" i="5" s="1"/>
  <c r="AG366" i="5"/>
  <c r="AG367" i="5" s="1"/>
  <c r="AG291" i="5" s="1"/>
  <c r="AG371" i="5"/>
  <c r="AG372" i="5" s="1"/>
  <c r="AG307" i="5" s="1"/>
  <c r="AG238" i="5"/>
  <c r="AG116" i="5" s="1"/>
  <c r="AG134" i="5"/>
  <c r="AC144" i="5"/>
  <c r="AC168" i="5" s="1"/>
  <c r="AC136" i="5"/>
  <c r="AC548" i="5"/>
  <c r="AI217" i="5"/>
  <c r="AI227" i="5" s="1"/>
  <c r="AI76" i="5"/>
  <c r="AI186" i="5"/>
  <c r="AI197" i="5" s="1"/>
  <c r="AI203" i="5" s="1"/>
  <c r="AI210" i="5" s="1"/>
  <c r="AI226" i="5"/>
  <c r="AI234" i="5" s="1"/>
  <c r="AI172" i="5" s="1"/>
  <c r="AI178" i="5" s="1"/>
  <c r="AK75" i="5"/>
  <c r="AK226" i="5" s="1"/>
  <c r="N296" i="6"/>
  <c r="N287" i="2" s="1"/>
  <c r="S7" i="5"/>
  <c r="S5" i="8" s="1"/>
  <c r="S20" i="8" s="1"/>
  <c r="AE119" i="5"/>
  <c r="N285" i="2"/>
  <c r="K13" i="16"/>
  <c r="N207" i="2"/>
  <c r="W409" i="5"/>
  <c r="N190" i="2"/>
  <c r="T8" i="4"/>
  <c r="T2" i="4" s="1"/>
  <c r="L5" i="16" s="1"/>
  <c r="L13" i="16" s="1"/>
  <c r="T9" i="4"/>
  <c r="T13" i="5"/>
  <c r="X407" i="5"/>
  <c r="X435" i="5"/>
  <c r="Y310" i="5"/>
  <c r="X408" i="5"/>
  <c r="Y320" i="5"/>
  <c r="Y325" i="5" s="1"/>
  <c r="U542" i="5"/>
  <c r="U545" i="5"/>
  <c r="U17" i="5"/>
  <c r="U12" i="5" a="1"/>
  <c r="U12" i="5" s="1"/>
  <c r="U14" i="5" s="1"/>
  <c r="U11" i="5" a="1"/>
  <c r="U11" i="5" s="1"/>
  <c r="U10" i="5" a="1"/>
  <c r="U10" i="5" s="1"/>
  <c r="V8" i="5"/>
  <c r="O197" i="6" s="1"/>
  <c r="O186" i="2" s="1"/>
  <c r="U15" i="5"/>
  <c r="Z318" i="5"/>
  <c r="AG164" i="5"/>
  <c r="AG549" i="5" s="1"/>
  <c r="AG165" i="5"/>
  <c r="AG253" i="5" s="1"/>
  <c r="U11" i="4"/>
  <c r="U13" i="4"/>
  <c r="U7" i="4" a="1"/>
  <c r="U7" i="4" s="1"/>
  <c r="U10" i="4" s="1"/>
  <c r="U6" i="4" a="1"/>
  <c r="U6" i="4" s="1"/>
  <c r="V3" i="4"/>
  <c r="U5" i="4" a="1"/>
  <c r="U5" i="4" s="1"/>
  <c r="Y346" i="5"/>
  <c r="Y347" i="5" s="1"/>
  <c r="Y259" i="5"/>
  <c r="AG117" i="5"/>
  <c r="AG231" i="5"/>
  <c r="AA350" i="5"/>
  <c r="X465" i="5"/>
  <c r="Y466" i="5"/>
  <c r="Y459" i="5"/>
  <c r="Y152" i="5" s="1"/>
  <c r="Y154" i="5" s="1"/>
  <c r="W483" i="5"/>
  <c r="W484" i="5" s="1"/>
  <c r="W499" i="5" s="1"/>
  <c r="W478" i="5"/>
  <c r="W479" i="5" s="1"/>
  <c r="W497" i="5" s="1"/>
  <c r="Z453" i="5"/>
  <c r="Y455" i="5"/>
  <c r="Y448" i="5" s="1"/>
  <c r="Y450" i="5" s="1"/>
  <c r="Y296" i="5" s="1"/>
  <c r="Z457" i="5"/>
  <c r="Z458" i="5" s="1"/>
  <c r="X438" i="5"/>
  <c r="Y313" i="5"/>
  <c r="N245" i="6"/>
  <c r="AI366" i="5"/>
  <c r="AI367" i="5" s="1"/>
  <c r="AI291" i="5" s="1"/>
  <c r="AI371" i="5"/>
  <c r="AI372" i="5" s="1"/>
  <c r="AI307" i="5" s="1"/>
  <c r="AI361" i="5"/>
  <c r="AI362" i="5" s="1"/>
  <c r="AI238" i="5"/>
  <c r="AI116" i="5" s="1"/>
  <c r="AI134" i="5"/>
  <c r="Y328" i="5"/>
  <c r="AB414" i="5"/>
  <c r="AA425" i="5"/>
  <c r="N215" i="2"/>
  <c r="N382" i="2"/>
  <c r="Y487" i="5"/>
  <c r="Y492" i="5" s="1"/>
  <c r="X493" i="5"/>
  <c r="AG376" i="5"/>
  <c r="AG290" i="5"/>
  <c r="AG210" i="5"/>
  <c r="AG211" i="5"/>
  <c r="AG113" i="5"/>
  <c r="AG115" i="5" s="1"/>
  <c r="Z319" i="5"/>
  <c r="AA401" i="5"/>
  <c r="AA403" i="5" s="1"/>
  <c r="X309" i="5"/>
  <c r="X429" i="5" s="1"/>
  <c r="V496" i="5"/>
  <c r="V500" i="5" s="1"/>
  <c r="U502" i="5"/>
  <c r="U505" i="5"/>
  <c r="U501" i="5"/>
  <c r="U507" i="5"/>
  <c r="AK106" i="5"/>
  <c r="AK133" i="5" s="1"/>
  <c r="AK110" i="5"/>
  <c r="AK112" i="5" s="1"/>
  <c r="AK142" i="5" s="1"/>
  <c r="AK167" i="5" s="1"/>
  <c r="AB207" i="2"/>
  <c r="AB215" i="2"/>
  <c r="AB382" i="2"/>
  <c r="AB287" i="2"/>
  <c r="AB285" i="2"/>
  <c r="AC186" i="2"/>
  <c r="AB190" i="2"/>
  <c r="AI218" i="5" l="1"/>
  <c r="AE249" i="5"/>
  <c r="AI229" i="5"/>
  <c r="AK208" i="5"/>
  <c r="AK76" i="5"/>
  <c r="AK186" i="5"/>
  <c r="AK197" i="5" s="1"/>
  <c r="AK203" i="5" s="1"/>
  <c r="AK217" i="5"/>
  <c r="AE136" i="5"/>
  <c r="AE548" i="5"/>
  <c r="AE144" i="5"/>
  <c r="AE168" i="5" s="1"/>
  <c r="T7" i="5"/>
  <c r="T5" i="8" s="1"/>
  <c r="T20" i="8" s="1"/>
  <c r="AI113" i="5"/>
  <c r="AI115" i="5" s="1"/>
  <c r="AI135" i="5" s="1"/>
  <c r="AI211" i="5"/>
  <c r="O217" i="6"/>
  <c r="O228" i="6"/>
  <c r="O225" i="6"/>
  <c r="O209" i="2" s="1"/>
  <c r="O227" i="6"/>
  <c r="O213" i="2" s="1"/>
  <c r="O302" i="6"/>
  <c r="O18" i="2" s="1"/>
  <c r="O219" i="6"/>
  <c r="O204" i="6"/>
  <c r="O192" i="2" s="1"/>
  <c r="O218" i="6"/>
  <c r="O224" i="6"/>
  <c r="O212" i="2" s="1"/>
  <c r="O231" i="6"/>
  <c r="O295" i="6"/>
  <c r="P294" i="6" s="1"/>
  <c r="O237" i="6"/>
  <c r="O227" i="2" s="1"/>
  <c r="O234" i="6"/>
  <c r="O222" i="2" s="1"/>
  <c r="O215" i="6"/>
  <c r="O204" i="2" s="1"/>
  <c r="O226" i="6"/>
  <c r="O220" i="6"/>
  <c r="O216" i="6"/>
  <c r="U9" i="4"/>
  <c r="X409" i="5"/>
  <c r="U13" i="5"/>
  <c r="AK371" i="5"/>
  <c r="AK372" i="5" s="1"/>
  <c r="AK307" i="5" s="1"/>
  <c r="AK361" i="5"/>
  <c r="AK362" i="5" s="1"/>
  <c r="AK366" i="5"/>
  <c r="AK367" i="5" s="1"/>
  <c r="AK291" i="5" s="1"/>
  <c r="AK238" i="5"/>
  <c r="AK116" i="5" s="1"/>
  <c r="AK134" i="5"/>
  <c r="AI117" i="5"/>
  <c r="AI231" i="5"/>
  <c r="Y435" i="5"/>
  <c r="Y407" i="5"/>
  <c r="Z310" i="5"/>
  <c r="Z313" i="5"/>
  <c r="Y438" i="5"/>
  <c r="AK227" i="5"/>
  <c r="AK229" i="5" s="1"/>
  <c r="AK218" i="5"/>
  <c r="W496" i="5"/>
  <c r="W500" i="5" s="1"/>
  <c r="V502" i="5"/>
  <c r="V501" i="5"/>
  <c r="V507" i="5"/>
  <c r="V505" i="5"/>
  <c r="Y309" i="5"/>
  <c r="Y429" i="5" s="1"/>
  <c r="Z459" i="5"/>
  <c r="Z152" i="5" s="1"/>
  <c r="Z154" i="5" s="1"/>
  <c r="AK234" i="5"/>
  <c r="AK172" i="5" s="1"/>
  <c r="AK178" i="5" s="1"/>
  <c r="Z455" i="5"/>
  <c r="Z448" i="5" s="1"/>
  <c r="Z450" i="5" s="1"/>
  <c r="Z296" i="5" s="1"/>
  <c r="AA457" i="5"/>
  <c r="AA458" i="5" s="1"/>
  <c r="AA453" i="5"/>
  <c r="Y465" i="5"/>
  <c r="Z466" i="5"/>
  <c r="AK211" i="5"/>
  <c r="AK113" i="5"/>
  <c r="AK115" i="5" s="1"/>
  <c r="AK210" i="5"/>
  <c r="AB401" i="5"/>
  <c r="AB403" i="5" s="1"/>
  <c r="AA319" i="5"/>
  <c r="AI376" i="5"/>
  <c r="AI290" i="5"/>
  <c r="Y551" i="5"/>
  <c r="Y265" i="5"/>
  <c r="AI164" i="5"/>
  <c r="AI549" i="5" s="1"/>
  <c r="AI165" i="5"/>
  <c r="AI253" i="5" s="1"/>
  <c r="AC414" i="5"/>
  <c r="AB425" i="5"/>
  <c r="AA318" i="5"/>
  <c r="X483" i="5"/>
  <c r="X484" i="5" s="1"/>
  <c r="X499" i="5" s="1"/>
  <c r="X478" i="5"/>
  <c r="X479" i="5" s="1"/>
  <c r="X497" i="5" s="1"/>
  <c r="N216" i="2"/>
  <c r="AG135" i="5"/>
  <c r="AG119" i="5"/>
  <c r="Z328" i="5"/>
  <c r="Y408" i="5"/>
  <c r="Z320" i="5"/>
  <c r="Z325" i="5" s="1"/>
  <c r="Z487" i="5"/>
  <c r="Z492" i="5" s="1"/>
  <c r="Y493" i="5"/>
  <c r="U8" i="4"/>
  <c r="U2" i="4" s="1"/>
  <c r="M5" i="16" s="1"/>
  <c r="M13" i="16" s="1"/>
  <c r="V542" i="5"/>
  <c r="V545" i="5"/>
  <c r="V17" i="5"/>
  <c r="V12" i="5" a="1"/>
  <c r="V12" i="5" s="1"/>
  <c r="V14" i="5" s="1"/>
  <c r="V11" i="5" a="1"/>
  <c r="V11" i="5" s="1"/>
  <c r="W8" i="5"/>
  <c r="V15" i="5"/>
  <c r="V10" i="5" a="1"/>
  <c r="V10" i="5" s="1"/>
  <c r="O229" i="6"/>
  <c r="O203" i="6"/>
  <c r="O202" i="6"/>
  <c r="O206" i="6"/>
  <c r="O191" i="2" s="1"/>
  <c r="AB350" i="5"/>
  <c r="AA353" i="5"/>
  <c r="V7" i="4" a="1"/>
  <c r="V7" i="4" s="1"/>
  <c r="V10" i="4" s="1"/>
  <c r="V6" i="4" a="1"/>
  <c r="V6" i="4" s="1"/>
  <c r="V13" i="4"/>
  <c r="V11" i="4"/>
  <c r="W3" i="4"/>
  <c r="V5" i="4" a="1"/>
  <c r="V5" i="4" s="1"/>
  <c r="AC209" i="2"/>
  <c r="AC192" i="2"/>
  <c r="AC204" i="2"/>
  <c r="AC213" i="2"/>
  <c r="AC212" i="2"/>
  <c r="AC191" i="2"/>
  <c r="AB216" i="2"/>
  <c r="AC222" i="2"/>
  <c r="AC227" i="2"/>
  <c r="AG249" i="5" l="1"/>
  <c r="AI119" i="5"/>
  <c r="U7" i="5"/>
  <c r="U5" i="8" s="1"/>
  <c r="U20" i="8" s="1"/>
  <c r="O207" i="2"/>
  <c r="O296" i="6"/>
  <c r="O287" i="2" s="1"/>
  <c r="O382" i="2"/>
  <c r="O285" i="2"/>
  <c r="O215" i="2"/>
  <c r="AA459" i="5"/>
  <c r="AA152" i="5" s="1"/>
  <c r="AA154" i="5" s="1"/>
  <c r="O190" i="2"/>
  <c r="V8" i="4"/>
  <c r="V2" i="4" s="1"/>
  <c r="N5" i="16" s="1"/>
  <c r="N13" i="16" s="1"/>
  <c r="V13" i="5"/>
  <c r="O245" i="6"/>
  <c r="AK135" i="5"/>
  <c r="X496" i="5"/>
  <c r="X500" i="5" s="1"/>
  <c r="W502" i="5"/>
  <c r="W505" i="5"/>
  <c r="W507" i="5"/>
  <c r="W501" i="5"/>
  <c r="AA346" i="5"/>
  <c r="AA347" i="5" s="1"/>
  <c r="AA259" i="5"/>
  <c r="AA487" i="5"/>
  <c r="AA492" i="5" s="1"/>
  <c r="Z493" i="5"/>
  <c r="AG548" i="5"/>
  <c r="AG136" i="5"/>
  <c r="AG144" i="5"/>
  <c r="AB318" i="5"/>
  <c r="AK231" i="5"/>
  <c r="AK117" i="5"/>
  <c r="AK119" i="5" s="1"/>
  <c r="AA328" i="5"/>
  <c r="AK165" i="5"/>
  <c r="AK164" i="5"/>
  <c r="AK549" i="5" s="1"/>
  <c r="Z408" i="5"/>
  <c r="AA320" i="5"/>
  <c r="AA325" i="5" s="1"/>
  <c r="AA466" i="5"/>
  <c r="Z465" i="5"/>
  <c r="AD414" i="5"/>
  <c r="AC425" i="5"/>
  <c r="AA455" i="5"/>
  <c r="AA448" i="5" s="1"/>
  <c r="AA450" i="5" s="1"/>
  <c r="AA296" i="5" s="1"/>
  <c r="AB457" i="5"/>
  <c r="AB458" i="5" s="1"/>
  <c r="AB453" i="5"/>
  <c r="W13" i="4"/>
  <c r="X3" i="4"/>
  <c r="W5" i="4" a="1"/>
  <c r="W5" i="4" s="1"/>
  <c r="W11" i="4"/>
  <c r="W6" i="4" a="1"/>
  <c r="W6" i="4" s="1"/>
  <c r="W7" i="4" a="1"/>
  <c r="W7" i="4" s="1"/>
  <c r="W10" i="4" s="1"/>
  <c r="AC350" i="5"/>
  <c r="W542" i="5"/>
  <c r="W545" i="5"/>
  <c r="W12" i="5" a="1"/>
  <c r="W12" i="5" s="1"/>
  <c r="W14" i="5" s="1"/>
  <c r="W11" i="5" a="1"/>
  <c r="W11" i="5" s="1"/>
  <c r="W10" i="5" a="1"/>
  <c r="W10" i="5" s="1"/>
  <c r="W17" i="5"/>
  <c r="X8" i="5"/>
  <c r="W15" i="5"/>
  <c r="AC401" i="5"/>
  <c r="AC403" i="5" s="1"/>
  <c r="AB319" i="5"/>
  <c r="Z438" i="5"/>
  <c r="AA313" i="5"/>
  <c r="AK376" i="5"/>
  <c r="AK290" i="5"/>
  <c r="Y483" i="5"/>
  <c r="Y484" i="5" s="1"/>
  <c r="Y499" i="5" s="1"/>
  <c r="Y478" i="5"/>
  <c r="Y479" i="5" s="1"/>
  <c r="Y497" i="5" s="1"/>
  <c r="Z435" i="5"/>
  <c r="AA310" i="5"/>
  <c r="Z407" i="5"/>
  <c r="V9" i="4"/>
  <c r="Z309" i="5"/>
  <c r="Z429" i="5" s="1"/>
  <c r="Y409" i="5"/>
  <c r="AC207" i="2"/>
  <c r="AC287" i="2"/>
  <c r="AC215" i="2"/>
  <c r="AC382" i="2"/>
  <c r="AC285" i="2"/>
  <c r="AC190" i="2"/>
  <c r="AK253" i="5" l="1"/>
  <c r="AK249" i="5"/>
  <c r="AI249" i="5"/>
  <c r="AI144" i="5"/>
  <c r="AI136" i="5"/>
  <c r="AI548" i="5"/>
  <c r="V7" i="5"/>
  <c r="V5" i="8" s="1"/>
  <c r="V20" i="8" s="1"/>
  <c r="AB459" i="5"/>
  <c r="AB152" i="5" s="1"/>
  <c r="AB154" i="5" s="1"/>
  <c r="O216" i="2"/>
  <c r="W13" i="5"/>
  <c r="AB455" i="5"/>
  <c r="AB448" i="5" s="1"/>
  <c r="AB450" i="5" s="1"/>
  <c r="AB296" i="5" s="1"/>
  <c r="AC457" i="5"/>
  <c r="AC458" i="5" s="1"/>
  <c r="AC453" i="5"/>
  <c r="Z483" i="5"/>
  <c r="Z484" i="5" s="1"/>
  <c r="Z499" i="5" s="1"/>
  <c r="Z478" i="5"/>
  <c r="Z479" i="5" s="1"/>
  <c r="Z497" i="5" s="1"/>
  <c r="AC318" i="5"/>
  <c r="AA265" i="5"/>
  <c r="AA551" i="5"/>
  <c r="AA465" i="5"/>
  <c r="AB466" i="5"/>
  <c r="AA408" i="5"/>
  <c r="AB320" i="5"/>
  <c r="AB325" i="5" s="1"/>
  <c r="AE414" i="5"/>
  <c r="AD425" i="5"/>
  <c r="AI168" i="5"/>
  <c r="AD401" i="5"/>
  <c r="AD403" i="5" s="1"/>
  <c r="AC319" i="5"/>
  <c r="AK548" i="5"/>
  <c r="AK136" i="5"/>
  <c r="AK144" i="5"/>
  <c r="AA309" i="5"/>
  <c r="AA429" i="5" s="1"/>
  <c r="AB313" i="5"/>
  <c r="AA438" i="5"/>
  <c r="W9" i="4"/>
  <c r="AB328" i="5"/>
  <c r="X545" i="5"/>
  <c r="X542" i="5"/>
  <c r="X11" i="5" a="1"/>
  <c r="X11" i="5" s="1"/>
  <c r="X10" i="5" a="1"/>
  <c r="X10" i="5" s="1"/>
  <c r="X17" i="5"/>
  <c r="Y8" i="5"/>
  <c r="X15" i="5"/>
  <c r="X12" i="5" a="1"/>
  <c r="X12" i="5" s="1"/>
  <c r="X14" i="5" s="1"/>
  <c r="AB487" i="5"/>
  <c r="AB492" i="5" s="1"/>
  <c r="AA493" i="5"/>
  <c r="W8" i="4"/>
  <c r="W2" i="4" s="1"/>
  <c r="O5" i="16" s="1"/>
  <c r="O13" i="16" s="1"/>
  <c r="Y496" i="5"/>
  <c r="Y500" i="5" s="1"/>
  <c r="X505" i="5"/>
  <c r="X502" i="5"/>
  <c r="X501" i="5"/>
  <c r="X507" i="5"/>
  <c r="AG168" i="5"/>
  <c r="X13" i="4"/>
  <c r="Y3" i="4"/>
  <c r="X5" i="4" a="1"/>
  <c r="X5" i="4" s="1"/>
  <c r="X11" i="4"/>
  <c r="X6" i="4" a="1"/>
  <c r="X6" i="4" s="1"/>
  <c r="X7" i="4" a="1"/>
  <c r="X7" i="4" s="1"/>
  <c r="X10" i="4" s="1"/>
  <c r="AD350" i="5"/>
  <c r="AC353" i="5"/>
  <c r="Z409" i="5"/>
  <c r="AA407" i="5"/>
  <c r="AA435" i="5"/>
  <c r="AB310" i="5"/>
  <c r="AC216" i="2"/>
  <c r="W7" i="5" l="1"/>
  <c r="W5" i="8" s="1"/>
  <c r="W20" i="8" s="1"/>
  <c r="AA409" i="5"/>
  <c r="AC459" i="5"/>
  <c r="AC152" i="5" s="1"/>
  <c r="AC154" i="5" s="1"/>
  <c r="AE350" i="5"/>
  <c r="AB465" i="5"/>
  <c r="AC466" i="5"/>
  <c r="AA483" i="5"/>
  <c r="AA484" i="5" s="1"/>
  <c r="AA499" i="5" s="1"/>
  <c r="AA478" i="5"/>
  <c r="AA479" i="5" s="1"/>
  <c r="AA497" i="5" s="1"/>
  <c r="AK168" i="5"/>
  <c r="AC487" i="5"/>
  <c r="AC492" i="5" s="1"/>
  <c r="AB493" i="5"/>
  <c r="AD318" i="5"/>
  <c r="X9" i="4"/>
  <c r="Y13" i="4"/>
  <c r="Y5" i="4" a="1"/>
  <c r="Y5" i="4" s="1"/>
  <c r="Z3" i="4"/>
  <c r="Y11" i="4"/>
  <c r="Y6" i="4" a="1"/>
  <c r="Y6" i="4" s="1"/>
  <c r="Y7" i="4" a="1"/>
  <c r="Y7" i="4" s="1"/>
  <c r="Y10" i="4" s="1"/>
  <c r="AC320" i="5"/>
  <c r="AC325" i="5" s="1"/>
  <c r="AB408" i="5"/>
  <c r="AC455" i="5"/>
  <c r="AC448" i="5" s="1"/>
  <c r="AC450" i="5" s="1"/>
  <c r="AC296" i="5" s="1"/>
  <c r="AD457" i="5"/>
  <c r="AD458" i="5" s="1"/>
  <c r="AD453" i="5"/>
  <c r="X8" i="4"/>
  <c r="X2" i="4" s="1"/>
  <c r="P5" i="16" s="1"/>
  <c r="P13" i="16" s="1"/>
  <c r="Z496" i="5"/>
  <c r="Z500" i="5" s="1"/>
  <c r="Y505" i="5"/>
  <c r="Y502" i="5"/>
  <c r="Y501" i="5"/>
  <c r="Y507" i="5"/>
  <c r="AC346" i="5"/>
  <c r="AC347" i="5" s="1"/>
  <c r="AC259" i="5"/>
  <c r="AC328" i="5"/>
  <c r="AC313" i="5"/>
  <c r="AB438" i="5"/>
  <c r="AF414" i="5"/>
  <c r="AE425" i="5"/>
  <c r="Y545" i="5"/>
  <c r="Y542" i="5"/>
  <c r="Y11" i="5" a="1"/>
  <c r="Y11" i="5" s="1"/>
  <c r="Y10" i="5" a="1"/>
  <c r="Y10" i="5" s="1"/>
  <c r="Y15" i="5"/>
  <c r="Y17" i="5"/>
  <c r="Z8" i="5"/>
  <c r="Q295" i="6" s="1"/>
  <c r="Q285" i="2" s="1"/>
  <c r="Y12" i="5" a="1"/>
  <c r="Y12" i="5" s="1"/>
  <c r="Y14" i="5" s="1"/>
  <c r="AB309" i="5"/>
  <c r="AB429" i="5" s="1"/>
  <c r="X13" i="5"/>
  <c r="AB407" i="5"/>
  <c r="AB435" i="5"/>
  <c r="AC310" i="5"/>
  <c r="AD319" i="5"/>
  <c r="AE401" i="5"/>
  <c r="AE403" i="5" s="1"/>
  <c r="AE285" i="2"/>
  <c r="X7" i="5" l="1"/>
  <c r="X5" i="8" s="1"/>
  <c r="X20" i="8" s="1"/>
  <c r="AD459" i="5"/>
  <c r="AD152" i="5" s="1"/>
  <c r="AD154" i="5" s="1"/>
  <c r="Q234" i="6"/>
  <c r="Q222" i="2" s="1"/>
  <c r="Q215" i="6"/>
  <c r="Q204" i="2" s="1"/>
  <c r="AD320" i="5"/>
  <c r="AD325" i="5" s="1"/>
  <c r="AC408" i="5"/>
  <c r="Y9" i="4"/>
  <c r="AC465" i="5"/>
  <c r="AD466" i="5"/>
  <c r="AC438" i="5"/>
  <c r="AD313" i="5"/>
  <c r="Y8" i="4"/>
  <c r="Y2" i="4" s="1"/>
  <c r="Q5" i="16" s="1"/>
  <c r="Q13" i="16" s="1"/>
  <c r="AC435" i="5"/>
  <c r="AC407" i="5"/>
  <c r="AD310" i="5"/>
  <c r="AA496" i="5"/>
  <c r="AA500" i="5" s="1"/>
  <c r="Z505" i="5"/>
  <c r="Z502" i="5"/>
  <c r="Z501" i="5"/>
  <c r="Z507" i="5"/>
  <c r="Z545" i="5"/>
  <c r="Z542" i="5"/>
  <c r="AA8" i="5"/>
  <c r="Z10" i="5" a="1"/>
  <c r="Z10" i="5" s="1"/>
  <c r="Z17" i="5"/>
  <c r="Z15" i="5"/>
  <c r="Z11" i="5" a="1"/>
  <c r="Z11" i="5" s="1"/>
  <c r="Z12" i="5" a="1"/>
  <c r="Z12" i="5" s="1"/>
  <c r="Z14" i="5" s="1"/>
  <c r="AF401" i="5"/>
  <c r="AF403" i="5" s="1"/>
  <c r="AE319" i="5"/>
  <c r="Z5" i="4" a="1"/>
  <c r="Z5" i="4" s="1"/>
  <c r="AA3" i="4"/>
  <c r="Z6" i="4" a="1"/>
  <c r="Z6" i="4" s="1"/>
  <c r="Z7" i="4" a="1"/>
  <c r="Z7" i="4" s="1"/>
  <c r="Z10" i="4" s="1"/>
  <c r="Z13" i="4"/>
  <c r="Z11" i="4"/>
  <c r="AB478" i="5"/>
  <c r="AB479" i="5" s="1"/>
  <c r="AB497" i="5" s="1"/>
  <c r="AB483" i="5"/>
  <c r="AB484" i="5" s="1"/>
  <c r="AB499" i="5" s="1"/>
  <c r="AB409" i="5"/>
  <c r="AC309" i="5"/>
  <c r="AC429" i="5" s="1"/>
  <c r="AE457" i="5"/>
  <c r="AE458" i="5" s="1"/>
  <c r="AD455" i="5"/>
  <c r="AD448" i="5" s="1"/>
  <c r="AD450" i="5" s="1"/>
  <c r="AD296" i="5" s="1"/>
  <c r="AE453" i="5"/>
  <c r="AF350" i="5"/>
  <c r="AE353" i="5"/>
  <c r="AD328" i="5"/>
  <c r="AC493" i="5"/>
  <c r="AD487" i="5"/>
  <c r="AD492" i="5" s="1"/>
  <c r="Y13" i="5"/>
  <c r="AC265" i="5"/>
  <c r="AC551" i="5"/>
  <c r="AF425" i="5"/>
  <c r="AG414" i="5"/>
  <c r="AE318" i="5"/>
  <c r="AE204" i="2"/>
  <c r="AE222" i="2"/>
  <c r="Y7" i="5" l="1"/>
  <c r="Y5" i="8" s="1"/>
  <c r="Y20" i="8" s="1"/>
  <c r="AC409" i="5"/>
  <c r="Z13" i="5"/>
  <c r="AE328" i="5"/>
  <c r="AA545" i="5"/>
  <c r="AA542" i="5"/>
  <c r="AA10" i="5" a="1"/>
  <c r="AA10" i="5" s="1"/>
  <c r="AA17" i="5"/>
  <c r="AA15" i="5"/>
  <c r="AB8" i="5"/>
  <c r="AA12" i="5" a="1"/>
  <c r="AA12" i="5" s="1"/>
  <c r="AA14" i="5" s="1"/>
  <c r="AA11" i="5" a="1"/>
  <c r="AA11" i="5" s="1"/>
  <c r="AD465" i="5"/>
  <c r="AE466" i="5"/>
  <c r="AE346" i="5"/>
  <c r="AE347" i="5" s="1"/>
  <c r="AE259" i="5"/>
  <c r="AC478" i="5"/>
  <c r="AC479" i="5" s="1"/>
  <c r="AC497" i="5" s="1"/>
  <c r="AC483" i="5"/>
  <c r="AC484" i="5" s="1"/>
  <c r="AC499" i="5" s="1"/>
  <c r="AE487" i="5"/>
  <c r="AE492" i="5" s="1"/>
  <c r="AD493" i="5"/>
  <c r="AD435" i="5"/>
  <c r="AE310" i="5"/>
  <c r="AD407" i="5"/>
  <c r="Z8" i="4"/>
  <c r="Z2" i="4" s="1"/>
  <c r="R5" i="16" s="1"/>
  <c r="R13" i="16" s="1"/>
  <c r="AF318" i="5"/>
  <c r="AF319" i="5"/>
  <c r="AG401" i="5"/>
  <c r="AG403" i="5" s="1"/>
  <c r="AE320" i="5"/>
  <c r="AE325" i="5" s="1"/>
  <c r="AD408" i="5"/>
  <c r="AB496" i="5"/>
  <c r="AB500" i="5" s="1"/>
  <c r="AA505" i="5"/>
  <c r="AA502" i="5"/>
  <c r="AA501" i="5"/>
  <c r="AA507" i="5"/>
  <c r="Z9" i="4"/>
  <c r="AG350" i="5"/>
  <c r="AD438" i="5"/>
  <c r="AE313" i="5"/>
  <c r="AF457" i="5"/>
  <c r="AF458" i="5" s="1"/>
  <c r="AF453" i="5"/>
  <c r="AE455" i="5"/>
  <c r="AE448" i="5" s="1"/>
  <c r="AE450" i="5" s="1"/>
  <c r="AE296" i="5" s="1"/>
  <c r="AD309" i="5"/>
  <c r="AD429" i="5" s="1"/>
  <c r="AA13" i="4"/>
  <c r="AB3" i="4"/>
  <c r="AA11" i="4"/>
  <c r="AA6" i="4" a="1"/>
  <c r="AA6" i="4" s="1"/>
  <c r="AA7" i="4" a="1"/>
  <c r="AA7" i="4" s="1"/>
  <c r="AA10" i="4" s="1"/>
  <c r="AA5" i="4" a="1"/>
  <c r="AA5" i="4" s="1"/>
  <c r="AE459" i="5"/>
  <c r="AE152" i="5" s="1"/>
  <c r="AE154" i="5" s="1"/>
  <c r="AG425" i="5"/>
  <c r="AH414" i="5"/>
  <c r="Z7" i="5" l="1"/>
  <c r="Z5" i="8" s="1"/>
  <c r="Z20" i="8" s="1"/>
  <c r="AD409" i="5"/>
  <c r="AA8" i="4"/>
  <c r="AA2" i="4" s="1"/>
  <c r="S5" i="16" s="1"/>
  <c r="S13" i="16" s="1"/>
  <c r="AB545" i="5"/>
  <c r="AB542" i="5"/>
  <c r="AB17" i="5"/>
  <c r="AB15" i="5"/>
  <c r="AB12" i="5" a="1"/>
  <c r="AB12" i="5" s="1"/>
  <c r="AB14" i="5" s="1"/>
  <c r="AC8" i="5"/>
  <c r="AB10" i="5" a="1"/>
  <c r="AB10" i="5" s="1"/>
  <c r="AB11" i="5" a="1"/>
  <c r="AB11" i="5" s="1"/>
  <c r="AF459" i="5"/>
  <c r="AF152" i="5" s="1"/>
  <c r="AF154" i="5" s="1"/>
  <c r="AG318" i="5"/>
  <c r="AE493" i="5"/>
  <c r="AF487" i="5"/>
  <c r="AF492" i="5" s="1"/>
  <c r="AA13" i="5"/>
  <c r="AG453" i="5"/>
  <c r="AF455" i="5"/>
  <c r="AF448" i="5" s="1"/>
  <c r="AF450" i="5" s="1"/>
  <c r="AF296" i="5" s="1"/>
  <c r="AG457" i="5"/>
  <c r="AG458" i="5" s="1"/>
  <c r="AA9" i="4"/>
  <c r="AB11" i="4"/>
  <c r="AC3" i="4"/>
  <c r="AB6" i="4" a="1"/>
  <c r="AB6" i="4" s="1"/>
  <c r="AB5" i="4" a="1"/>
  <c r="AB5" i="4" s="1"/>
  <c r="AB7" i="4" a="1"/>
  <c r="AB7" i="4" s="1"/>
  <c r="AB10" i="4" s="1"/>
  <c r="AB13" i="4"/>
  <c r="AE265" i="5"/>
  <c r="AE551" i="5"/>
  <c r="AH425" i="5"/>
  <c r="AI414" i="5"/>
  <c r="AC496" i="5"/>
  <c r="AC500" i="5" s="1"/>
  <c r="AB505" i="5"/>
  <c r="AB502" i="5"/>
  <c r="AB501" i="5"/>
  <c r="AB507" i="5"/>
  <c r="AF466" i="5"/>
  <c r="AE465" i="5"/>
  <c r="AE407" i="5"/>
  <c r="AF310" i="5"/>
  <c r="AE435" i="5"/>
  <c r="AE438" i="5"/>
  <c r="AF313" i="5"/>
  <c r="AD483" i="5"/>
  <c r="AD484" i="5" s="1"/>
  <c r="AD499" i="5" s="1"/>
  <c r="AD478" i="5"/>
  <c r="AD479" i="5" s="1"/>
  <c r="AD497" i="5" s="1"/>
  <c r="AF328" i="5"/>
  <c r="AG353" i="5"/>
  <c r="AH350" i="5"/>
  <c r="AE309" i="5"/>
  <c r="AE429" i="5" s="1"/>
  <c r="AE408" i="5"/>
  <c r="AF320" i="5"/>
  <c r="AF325" i="5" s="1"/>
  <c r="AH401" i="5"/>
  <c r="AH403" i="5" s="1"/>
  <c r="AG319" i="5"/>
  <c r="AA7" i="5" l="1"/>
  <c r="AA5" i="8" s="1"/>
  <c r="AA20" i="8" s="1"/>
  <c r="AG459" i="5"/>
  <c r="AG152" i="5" s="1"/>
  <c r="AG154" i="5" s="1"/>
  <c r="AB13" i="5"/>
  <c r="AC545" i="5"/>
  <c r="AC542" i="5"/>
  <c r="AC17" i="5"/>
  <c r="AC12" i="5" a="1"/>
  <c r="AC12" i="5" s="1"/>
  <c r="AC14" i="5" s="1"/>
  <c r="AC15" i="5"/>
  <c r="AD8" i="5"/>
  <c r="AC11" i="5" a="1"/>
  <c r="AC11" i="5" s="1"/>
  <c r="AC10" i="5" a="1"/>
  <c r="AC10" i="5" s="1"/>
  <c r="AH318" i="5"/>
  <c r="AF309" i="5"/>
  <c r="AF429" i="5" s="1"/>
  <c r="AE409" i="5"/>
  <c r="AE478" i="5"/>
  <c r="AE479" i="5" s="1"/>
  <c r="AE497" i="5" s="1"/>
  <c r="AE483" i="5"/>
  <c r="AE484" i="5" s="1"/>
  <c r="AE499" i="5" s="1"/>
  <c r="AG455" i="5"/>
  <c r="AG448" i="5" s="1"/>
  <c r="AG450" i="5" s="1"/>
  <c r="AG296" i="5" s="1"/>
  <c r="AH453" i="5"/>
  <c r="AH457" i="5"/>
  <c r="AH458" i="5" s="1"/>
  <c r="AD496" i="5"/>
  <c r="AD500" i="5" s="1"/>
  <c r="AC505" i="5"/>
  <c r="AC502" i="5"/>
  <c r="AC501" i="5"/>
  <c r="AC507" i="5"/>
  <c r="AI401" i="5"/>
  <c r="AI403" i="5" s="1"/>
  <c r="AH319" i="5"/>
  <c r="AF408" i="5"/>
  <c r="AG320" i="5"/>
  <c r="AB8" i="4"/>
  <c r="AB2" i="4" s="1"/>
  <c r="T5" i="16" s="1"/>
  <c r="T13" i="16" s="1"/>
  <c r="AG487" i="5"/>
  <c r="AG492" i="5" s="1"/>
  <c r="AF493" i="5"/>
  <c r="AF435" i="5"/>
  <c r="AF407" i="5"/>
  <c r="AG310" i="5"/>
  <c r="AF465" i="5"/>
  <c r="AG466" i="5"/>
  <c r="AI350" i="5"/>
  <c r="AB9" i="4"/>
  <c r="AI425" i="5"/>
  <c r="AJ414" i="5"/>
  <c r="AF438" i="5"/>
  <c r="AG313" i="5"/>
  <c r="AC6" i="4" a="1"/>
  <c r="AC6" i="4" s="1"/>
  <c r="AC11" i="4"/>
  <c r="AC7" i="4" a="1"/>
  <c r="AC7" i="4" s="1"/>
  <c r="AC10" i="4" s="1"/>
  <c r="AC13" i="4"/>
  <c r="AD3" i="4"/>
  <c r="AC5" i="4" a="1"/>
  <c r="AC5" i="4" s="1"/>
  <c r="AG346" i="5"/>
  <c r="AG347" i="5" s="1"/>
  <c r="AG259" i="5"/>
  <c r="AG328" i="5"/>
  <c r="AB7" i="5" l="1"/>
  <c r="AB5" i="8" s="1"/>
  <c r="AG27" i="8"/>
  <c r="AH27" i="8" s="1"/>
  <c r="AG8" i="8"/>
  <c r="AH8" i="8" s="1"/>
  <c r="AC8" i="4"/>
  <c r="AC2" i="4" s="1"/>
  <c r="U5" i="16" s="1"/>
  <c r="U13" i="16" s="1"/>
  <c r="AG23" i="8"/>
  <c r="AH23" i="8" s="1"/>
  <c r="AG7" i="8"/>
  <c r="AH7" i="8" s="1"/>
  <c r="AH459" i="5"/>
  <c r="AH152" i="5" s="1"/>
  <c r="AH154" i="5" s="1"/>
  <c r="AF409" i="5"/>
  <c r="AG24" i="8"/>
  <c r="AH24" i="8" s="1"/>
  <c r="AG14" i="8"/>
  <c r="AH14" i="8" s="1"/>
  <c r="AG22" i="8"/>
  <c r="AH22" i="8" s="1"/>
  <c r="AC13" i="5"/>
  <c r="AC9" i="4"/>
  <c r="AI318" i="5"/>
  <c r="AH487" i="5"/>
  <c r="AH492" i="5" s="1"/>
  <c r="AG493" i="5"/>
  <c r="AH328" i="5"/>
  <c r="AG435" i="5"/>
  <c r="AG407" i="5"/>
  <c r="AH310" i="5"/>
  <c r="AJ425" i="5"/>
  <c r="AK414" i="5"/>
  <c r="AG265" i="5"/>
  <c r="AG551" i="5"/>
  <c r="AJ401" i="5"/>
  <c r="AJ403" i="5" s="1"/>
  <c r="AI319" i="5"/>
  <c r="AG309" i="5"/>
  <c r="AG429" i="5" s="1"/>
  <c r="AD505" i="5"/>
  <c r="AD502" i="5"/>
  <c r="AD501" i="5"/>
  <c r="AD507" i="5"/>
  <c r="AE496" i="5"/>
  <c r="AE500" i="5" s="1"/>
  <c r="AJ350" i="5"/>
  <c r="AI353" i="5"/>
  <c r="AG465" i="5"/>
  <c r="AH466" i="5"/>
  <c r="AD545" i="5"/>
  <c r="AD542" i="5"/>
  <c r="AD17" i="5"/>
  <c r="AD15" i="5"/>
  <c r="AD12" i="5" a="1"/>
  <c r="AD12" i="5" s="1"/>
  <c r="AD14" i="5" s="1"/>
  <c r="AE8" i="5"/>
  <c r="AD11" i="5" a="1"/>
  <c r="AD11" i="5" s="1"/>
  <c r="AD10" i="5" a="1"/>
  <c r="AD10" i="5" s="1"/>
  <c r="AD13" i="4"/>
  <c r="AD7" i="4" a="1"/>
  <c r="AD7" i="4" s="1"/>
  <c r="AD10" i="4" s="1"/>
  <c r="AD6" i="4" a="1"/>
  <c r="AD6" i="4" s="1"/>
  <c r="AD11" i="4"/>
  <c r="AE3" i="4"/>
  <c r="AD5" i="4" a="1"/>
  <c r="AD5" i="4" s="1"/>
  <c r="AF478" i="5"/>
  <c r="AF479" i="5" s="1"/>
  <c r="AF497" i="5" s="1"/>
  <c r="AF483" i="5"/>
  <c r="AF484" i="5" s="1"/>
  <c r="AF499" i="5" s="1"/>
  <c r="AG438" i="5"/>
  <c r="AH313" i="5"/>
  <c r="AG408" i="5"/>
  <c r="AH320" i="5"/>
  <c r="AI453" i="5"/>
  <c r="AI457" i="5"/>
  <c r="AI458" i="5" s="1"/>
  <c r="AH455" i="5"/>
  <c r="AH448" i="5" s="1"/>
  <c r="AH450" i="5" s="1"/>
  <c r="AH296" i="5" s="1"/>
  <c r="AG325" i="5"/>
  <c r="AG28" i="8" l="1"/>
  <c r="AH28" i="8" s="1"/>
  <c r="AG13" i="8"/>
  <c r="AH13" i="8" s="1"/>
  <c r="AG12" i="8"/>
  <c r="AH12" i="8" s="1"/>
  <c r="AG15" i="8"/>
  <c r="AH15" i="8" s="1"/>
  <c r="AB20" i="8"/>
  <c r="AG16" i="8"/>
  <c r="AH16" i="8" s="1"/>
  <c r="AG29" i="8"/>
  <c r="AH29" i="8" s="1"/>
  <c r="AC7" i="5"/>
  <c r="AD8" i="4"/>
  <c r="AD2" i="4" s="1"/>
  <c r="V5" i="16" s="1"/>
  <c r="V13" i="16" s="1"/>
  <c r="AD13" i="5"/>
  <c r="AD9" i="4"/>
  <c r="AK401" i="5"/>
  <c r="AK403" i="5" s="1"/>
  <c r="AJ319" i="5"/>
  <c r="AI487" i="5"/>
  <c r="AI492" i="5" s="1"/>
  <c r="AH493" i="5"/>
  <c r="AI328" i="5"/>
  <c r="AH465" i="5"/>
  <c r="AI466" i="5"/>
  <c r="AE11" i="4"/>
  <c r="AE7" i="4" a="1"/>
  <c r="AE7" i="4" s="1"/>
  <c r="AE10" i="4" s="1"/>
  <c r="AE5" i="4" a="1"/>
  <c r="AE5" i="4" s="1"/>
  <c r="AE13" i="4"/>
  <c r="AF3" i="4"/>
  <c r="AE6" i="4" a="1"/>
  <c r="AE6" i="4" s="1"/>
  <c r="AG478" i="5"/>
  <c r="AG479" i="5" s="1"/>
  <c r="AG497" i="5" s="1"/>
  <c r="AG483" i="5"/>
  <c r="AG484" i="5" s="1"/>
  <c r="AG499" i="5" s="1"/>
  <c r="AH309" i="5"/>
  <c r="AH429" i="5" s="1"/>
  <c r="AI346" i="5"/>
  <c r="AI347" i="5" s="1"/>
  <c r="AI259" i="5"/>
  <c r="AK350" i="5"/>
  <c r="AI459" i="5"/>
  <c r="AI152" i="5" s="1"/>
  <c r="AI154" i="5" s="1"/>
  <c r="AE505" i="5"/>
  <c r="AE502" i="5"/>
  <c r="AE501" i="5"/>
  <c r="AE507" i="5"/>
  <c r="AF496" i="5"/>
  <c r="AF500" i="5" s="1"/>
  <c r="AL414" i="5"/>
  <c r="AL425" i="5" s="1"/>
  <c r="AK425" i="5"/>
  <c r="AJ453" i="5"/>
  <c r="AJ457" i="5"/>
  <c r="AJ458" i="5" s="1"/>
  <c r="AI455" i="5"/>
  <c r="AI448" i="5" s="1"/>
  <c r="AI450" i="5" s="1"/>
  <c r="AI296" i="5" s="1"/>
  <c r="AI320" i="5"/>
  <c r="AI325" i="5" s="1"/>
  <c r="AH408" i="5"/>
  <c r="AH435" i="5"/>
  <c r="AH407" i="5"/>
  <c r="AI310" i="5"/>
  <c r="AG409" i="5"/>
  <c r="AH438" i="5"/>
  <c r="AI313" i="5"/>
  <c r="AE545" i="5"/>
  <c r="AE542" i="5"/>
  <c r="AE17" i="5"/>
  <c r="AE12" i="5" a="1"/>
  <c r="AE12" i="5" s="1"/>
  <c r="AE14" i="5" s="1"/>
  <c r="AF8" i="5"/>
  <c r="AE11" i="5" a="1"/>
  <c r="AE11" i="5" s="1"/>
  <c r="AE15" i="5"/>
  <c r="AE10" i="5" a="1"/>
  <c r="AE10" i="5" s="1"/>
  <c r="AH325" i="5"/>
  <c r="AJ318" i="5"/>
  <c r="AD7" i="5" l="1"/>
  <c r="AH409" i="5"/>
  <c r="AE13" i="5"/>
  <c r="AE8" i="4"/>
  <c r="AE2" i="4" s="1"/>
  <c r="W5" i="16" s="1"/>
  <c r="W13" i="16" s="1"/>
  <c r="AF545" i="5"/>
  <c r="AF542" i="5"/>
  <c r="AF15" i="5"/>
  <c r="AF11" i="5" a="1"/>
  <c r="AF11" i="5" s="1"/>
  <c r="AG8" i="5"/>
  <c r="AF10" i="5" a="1"/>
  <c r="AF10" i="5" s="1"/>
  <c r="AF17" i="5"/>
  <c r="AF12" i="5" a="1"/>
  <c r="AF12" i="5" s="1"/>
  <c r="AF14" i="5" s="1"/>
  <c r="AI309" i="5"/>
  <c r="AI429" i="5" s="1"/>
  <c r="AK318" i="5"/>
  <c r="AL350" i="5"/>
  <c r="AK353" i="5"/>
  <c r="AJ328" i="5"/>
  <c r="AL401" i="5"/>
  <c r="AL403" i="5" s="1"/>
  <c r="AL319" i="5" s="1"/>
  <c r="AK319" i="5"/>
  <c r="AI465" i="5"/>
  <c r="AJ466" i="5"/>
  <c r="AJ455" i="5"/>
  <c r="AJ448" i="5" s="1"/>
  <c r="AJ450" i="5" s="1"/>
  <c r="AJ296" i="5" s="1"/>
  <c r="AK457" i="5"/>
  <c r="AK458" i="5" s="1"/>
  <c r="AK453" i="5"/>
  <c r="AJ459" i="5"/>
  <c r="AJ152" i="5" s="1"/>
  <c r="AJ154" i="5" s="1"/>
  <c r="AI438" i="5"/>
  <c r="AJ313" i="5"/>
  <c r="AF505" i="5"/>
  <c r="AF502" i="5"/>
  <c r="AF501" i="5"/>
  <c r="AF507" i="5"/>
  <c r="AG496" i="5"/>
  <c r="AG500" i="5" s="1"/>
  <c r="AE9" i="4"/>
  <c r="AJ487" i="5"/>
  <c r="AJ492" i="5" s="1"/>
  <c r="AI493" i="5"/>
  <c r="AF7" i="4" a="1"/>
  <c r="AF7" i="4" s="1"/>
  <c r="AF10" i="4" s="1"/>
  <c r="AF11" i="4"/>
  <c r="AF5" i="4" a="1"/>
  <c r="AF5" i="4" s="1"/>
  <c r="AF6" i="4" a="1"/>
  <c r="AF6" i="4" s="1"/>
  <c r="AG3" i="4"/>
  <c r="AF13" i="4"/>
  <c r="AH478" i="5"/>
  <c r="AH479" i="5" s="1"/>
  <c r="AH497" i="5" s="1"/>
  <c r="AH483" i="5"/>
  <c r="AH484" i="5" s="1"/>
  <c r="AH499" i="5" s="1"/>
  <c r="AI435" i="5"/>
  <c r="AI407" i="5"/>
  <c r="AJ310" i="5"/>
  <c r="AI408" i="5"/>
  <c r="AJ320" i="5"/>
  <c r="AI551" i="5"/>
  <c r="AI265" i="5"/>
  <c r="AE7" i="5" l="1"/>
  <c r="AK459" i="5"/>
  <c r="AK152" i="5" s="1"/>
  <c r="AK154" i="5" s="1"/>
  <c r="AF9" i="4"/>
  <c r="AF8" i="4"/>
  <c r="AF2" i="4" s="1"/>
  <c r="X5" i="16" s="1"/>
  <c r="X13" i="16" s="1"/>
  <c r="AI409" i="5"/>
  <c r="AJ435" i="5"/>
  <c r="AJ407" i="5"/>
  <c r="AK310" i="5"/>
  <c r="AL453" i="5"/>
  <c r="AL455" i="5" s="1"/>
  <c r="AL448" i="5" s="1"/>
  <c r="AL450" i="5" s="1"/>
  <c r="AL296" i="5" s="1"/>
  <c r="AL457" i="5"/>
  <c r="AL458" i="5" s="1"/>
  <c r="AK455" i="5"/>
  <c r="AK448" i="5" s="1"/>
  <c r="AK450" i="5" s="1"/>
  <c r="AK296" i="5" s="1"/>
  <c r="AI478" i="5"/>
  <c r="AI479" i="5" s="1"/>
  <c r="AI497" i="5" s="1"/>
  <c r="AI483" i="5"/>
  <c r="AI484" i="5" s="1"/>
  <c r="AI499" i="5" s="1"/>
  <c r="AJ309" i="5"/>
  <c r="AJ429" i="5" s="1"/>
  <c r="AG545" i="5"/>
  <c r="AG542" i="5"/>
  <c r="AG11" i="5" a="1"/>
  <c r="AG11" i="5" s="1"/>
  <c r="AG15" i="5"/>
  <c r="AH8" i="5"/>
  <c r="AG10" i="5" a="1"/>
  <c r="AG10" i="5" s="1"/>
  <c r="AG12" i="5" a="1"/>
  <c r="AG12" i="5" s="1"/>
  <c r="AG14" i="5" s="1"/>
  <c r="AG17" i="5"/>
  <c r="AF13" i="5"/>
  <c r="AK259" i="5"/>
  <c r="AK346" i="5"/>
  <c r="AK347" i="5" s="1"/>
  <c r="AJ438" i="5"/>
  <c r="AK313" i="5"/>
  <c r="AK328" i="5"/>
  <c r="AJ408" i="5"/>
  <c r="AK320" i="5"/>
  <c r="AJ325" i="5"/>
  <c r="AK487" i="5"/>
  <c r="AK492" i="5" s="1"/>
  <c r="AJ493" i="5"/>
  <c r="AJ465" i="5"/>
  <c r="AK466" i="5"/>
  <c r="AG505" i="5"/>
  <c r="AG502" i="5"/>
  <c r="AG501" i="5"/>
  <c r="AG507" i="5"/>
  <c r="AH496" i="5"/>
  <c r="AH500" i="5" s="1"/>
  <c r="AG11" i="4"/>
  <c r="AG5" i="4" a="1"/>
  <c r="AG5" i="4" s="1"/>
  <c r="AG7" i="4" a="1"/>
  <c r="AG7" i="4" s="1"/>
  <c r="AG10" i="4" s="1"/>
  <c r="AG13" i="4"/>
  <c r="AG6" i="4" a="1"/>
  <c r="AG6" i="4" s="1"/>
  <c r="AH3" i="4"/>
  <c r="AL318" i="5"/>
  <c r="AF7" i="5" l="1"/>
  <c r="AG9" i="4"/>
  <c r="AG8" i="4"/>
  <c r="AG2" i="4" s="1"/>
  <c r="Y5" i="16" s="1"/>
  <c r="Y13" i="16" s="1"/>
  <c r="AK309" i="5"/>
  <c r="AK429" i="5" s="1"/>
  <c r="AL487" i="5"/>
  <c r="AL492" i="5" s="1"/>
  <c r="AL493" i="5" s="1"/>
  <c r="AK493" i="5"/>
  <c r="AH507" i="5"/>
  <c r="AH505" i="5"/>
  <c r="AI496" i="5"/>
  <c r="AI500" i="5" s="1"/>
  <c r="AH501" i="5"/>
  <c r="AH502" i="5"/>
  <c r="AG13" i="5"/>
  <c r="AK265" i="5"/>
  <c r="AK551" i="5"/>
  <c r="AL459" i="5"/>
  <c r="AL152" i="5" s="1"/>
  <c r="AL154" i="5" s="1"/>
  <c r="AL466" i="5"/>
  <c r="AL465" i="5" s="1"/>
  <c r="AK465" i="5"/>
  <c r="AJ409" i="5"/>
  <c r="AL320" i="5"/>
  <c r="AL408" i="5" s="1"/>
  <c r="AK408" i="5"/>
  <c r="AH545" i="5"/>
  <c r="AH542" i="5"/>
  <c r="AH15" i="5"/>
  <c r="AI8" i="5"/>
  <c r="AH10" i="5" a="1"/>
  <c r="AH10" i="5" s="1"/>
  <c r="AH12" i="5" a="1"/>
  <c r="AH12" i="5" s="1"/>
  <c r="AH14" i="5" s="1"/>
  <c r="AH11" i="5" a="1"/>
  <c r="AH11" i="5" s="1"/>
  <c r="AH17" i="5"/>
  <c r="AK325" i="5"/>
  <c r="AK438" i="5"/>
  <c r="AL313" i="5"/>
  <c r="AL438" i="5" s="1"/>
  <c r="AJ478" i="5"/>
  <c r="AJ479" i="5" s="1"/>
  <c r="AJ497" i="5" s="1"/>
  <c r="AJ483" i="5"/>
  <c r="AJ484" i="5" s="1"/>
  <c r="AJ499" i="5" s="1"/>
  <c r="AH11" i="4"/>
  <c r="AH5" i="4" a="1"/>
  <c r="AH5" i="4" s="1"/>
  <c r="AI3" i="4"/>
  <c r="AH13" i="4"/>
  <c r="AH6" i="4" a="1"/>
  <c r="AH6" i="4" s="1"/>
  <c r="AH7" i="4" a="1"/>
  <c r="AH7" i="4" s="1"/>
  <c r="AH10" i="4" s="1"/>
  <c r="AL328" i="5"/>
  <c r="AK435" i="5"/>
  <c r="AL310" i="5"/>
  <c r="AK407" i="5"/>
  <c r="AG7" i="5" l="1"/>
  <c r="AL325" i="5"/>
  <c r="AK409" i="5"/>
  <c r="AL407" i="5"/>
  <c r="AL409" i="5" s="1"/>
  <c r="AL435" i="5"/>
  <c r="AK478" i="5"/>
  <c r="AK479" i="5" s="1"/>
  <c r="AK497" i="5" s="1"/>
  <c r="AK483" i="5"/>
  <c r="AK484" i="5" s="1"/>
  <c r="AK499" i="5" s="1"/>
  <c r="AL478" i="5"/>
  <c r="AL479" i="5" s="1"/>
  <c r="AL497" i="5" s="1"/>
  <c r="AL483" i="5"/>
  <c r="AL484" i="5" s="1"/>
  <c r="AL499" i="5" s="1"/>
  <c r="AH9" i="4"/>
  <c r="AI545" i="5"/>
  <c r="AI542" i="5"/>
  <c r="AI10" i="5" a="1"/>
  <c r="AI10" i="5" s="1"/>
  <c r="AJ8" i="5"/>
  <c r="AI12" i="5" a="1"/>
  <c r="AI12" i="5" s="1"/>
  <c r="AI14" i="5" s="1"/>
  <c r="AI17" i="5"/>
  <c r="AI15" i="5"/>
  <c r="AI11" i="5" a="1"/>
  <c r="AI11" i="5" s="1"/>
  <c r="AI6" i="4" a="1"/>
  <c r="AI6" i="4" s="1"/>
  <c r="AI13" i="4"/>
  <c r="AI5" i="4" a="1"/>
  <c r="AI5" i="4" s="1"/>
  <c r="AI11" i="4"/>
  <c r="AI7" i="4" a="1"/>
  <c r="AI7" i="4" s="1"/>
  <c r="AI10" i="4" s="1"/>
  <c r="AJ3" i="4"/>
  <c r="AI507" i="5"/>
  <c r="AI505" i="5"/>
  <c r="AI502" i="5"/>
  <c r="AJ496" i="5"/>
  <c r="AJ500" i="5" s="1"/>
  <c r="AI501" i="5"/>
  <c r="AL309" i="5"/>
  <c r="AL429" i="5" s="1"/>
  <c r="AH13" i="5"/>
  <c r="AH8" i="4"/>
  <c r="AH2" i="4" s="1"/>
  <c r="Z5" i="16" s="1"/>
  <c r="Z13" i="16" s="1"/>
  <c r="AH7" i="5" l="1"/>
  <c r="AJ507" i="5"/>
  <c r="AK496" i="5"/>
  <c r="AK500" i="5" s="1"/>
  <c r="AJ501" i="5"/>
  <c r="AJ505" i="5"/>
  <c r="AJ502" i="5"/>
  <c r="AJ542" i="5"/>
  <c r="AJ545" i="5"/>
  <c r="AJ12" i="5" a="1"/>
  <c r="AJ12" i="5" s="1"/>
  <c r="AJ14" i="5" s="1"/>
  <c r="AK8" i="5"/>
  <c r="AJ10" i="5" a="1"/>
  <c r="AJ10" i="5" s="1"/>
  <c r="AJ15" i="5"/>
  <c r="AJ17" i="5"/>
  <c r="AJ11" i="5" a="1"/>
  <c r="AJ11" i="5" s="1"/>
  <c r="AI8" i="4"/>
  <c r="AI2" i="4" s="1"/>
  <c r="AA5" i="16" s="1"/>
  <c r="AA13" i="16" s="1"/>
  <c r="AI9" i="4"/>
  <c r="AJ6" i="4" a="1"/>
  <c r="AJ6" i="4" s="1"/>
  <c r="AJ13" i="4"/>
  <c r="AJ7" i="4" a="1"/>
  <c r="AJ7" i="4" s="1"/>
  <c r="AJ10" i="4" s="1"/>
  <c r="AK3" i="4"/>
  <c r="AJ5" i="4" a="1"/>
  <c r="AJ5" i="4" s="1"/>
  <c r="AJ11" i="4"/>
  <c r="AI13" i="5"/>
  <c r="AI7" i="5" l="1"/>
  <c r="AK11" i="4"/>
  <c r="AK13" i="4"/>
  <c r="AK6" i="4" a="1"/>
  <c r="AK6" i="4" s="1"/>
  <c r="AL3" i="4"/>
  <c r="AK5" i="4" a="1"/>
  <c r="AK5" i="4" s="1"/>
  <c r="AK7" i="4" a="1"/>
  <c r="AK7" i="4" s="1"/>
  <c r="AK10" i="4" s="1"/>
  <c r="AL496" i="5"/>
  <c r="AL500" i="5" s="1"/>
  <c r="AK507" i="5"/>
  <c r="AK501" i="5"/>
  <c r="AK502" i="5"/>
  <c r="AK505" i="5"/>
  <c r="AK542" i="5"/>
  <c r="AK545" i="5"/>
  <c r="AK12" i="5" a="1"/>
  <c r="AK12" i="5" s="1"/>
  <c r="AK14" i="5" s="1"/>
  <c r="AK17" i="5"/>
  <c r="AK11" i="5" a="1"/>
  <c r="AK11" i="5" s="1"/>
  <c r="AK10" i="5" a="1"/>
  <c r="AK10" i="5" s="1"/>
  <c r="AK15" i="5"/>
  <c r="AL8" i="5"/>
  <c r="AJ13" i="5"/>
  <c r="AJ9" i="4"/>
  <c r="AJ8" i="4"/>
  <c r="AJ2" i="4" s="1"/>
  <c r="AB5" i="16" s="1"/>
  <c r="N201" i="6" l="1"/>
  <c r="N207" i="6"/>
  <c r="O207" i="6"/>
  <c r="O201" i="6"/>
  <c r="P201" i="6"/>
  <c r="P207" i="6"/>
  <c r="Q207" i="6"/>
  <c r="Q201" i="6"/>
  <c r="AJ7" i="5"/>
  <c r="AB13" i="16"/>
  <c r="AD20" i="16"/>
  <c r="AF20" i="16" s="1"/>
  <c r="AG16" i="16"/>
  <c r="AH16" i="16" s="1"/>
  <c r="AD10" i="16"/>
  <c r="AF10" i="16" s="1"/>
  <c r="AG11" i="16"/>
  <c r="AH11" i="16" s="1"/>
  <c r="AD19" i="16"/>
  <c r="AF19" i="16" s="1"/>
  <c r="AD16" i="16"/>
  <c r="AF16" i="16" s="1"/>
  <c r="AD8" i="16"/>
  <c r="AF8" i="16" s="1"/>
  <c r="AG7" i="16"/>
  <c r="AH7" i="16" s="1"/>
  <c r="AD15" i="16"/>
  <c r="AF15" i="16" s="1"/>
  <c r="AG9" i="16"/>
  <c r="AH9" i="16" s="1"/>
  <c r="AG15" i="16"/>
  <c r="AH15" i="16" s="1"/>
  <c r="AG8" i="16"/>
  <c r="AH8" i="16" s="1"/>
  <c r="AG10" i="16"/>
  <c r="AH10" i="16" s="1"/>
  <c r="AD9" i="16"/>
  <c r="AF9" i="16" s="1"/>
  <c r="AG19" i="16"/>
  <c r="AH19" i="16" s="1"/>
  <c r="AD7" i="16"/>
  <c r="AF7" i="16" s="1"/>
  <c r="AG20" i="16"/>
  <c r="AH20" i="16" s="1"/>
  <c r="AD11" i="16"/>
  <c r="AF11" i="16" s="1"/>
  <c r="AK8" i="4"/>
  <c r="AK2" i="4" s="1"/>
  <c r="AK13" i="5"/>
  <c r="AL507" i="5"/>
  <c r="AL501" i="5"/>
  <c r="AL505" i="5"/>
  <c r="O298" i="6" s="1"/>
  <c r="O286" i="2" s="1"/>
  <c r="AL502" i="5"/>
  <c r="AL7" i="4" a="1"/>
  <c r="AL7" i="4" s="1"/>
  <c r="AL10" i="4" s="1"/>
  <c r="AL6" i="4" a="1"/>
  <c r="AL6" i="4" s="1"/>
  <c r="AL11" i="4"/>
  <c r="AL13" i="4"/>
  <c r="AL5" i="4" a="1"/>
  <c r="AL5" i="4" s="1"/>
  <c r="AM3" i="4"/>
  <c r="AL542" i="5"/>
  <c r="AL545" i="5"/>
  <c r="AL12" i="5" a="1"/>
  <c r="AL12" i="5" s="1"/>
  <c r="AL14" i="5" s="1"/>
  <c r="AL11" i="5" a="1"/>
  <c r="AL11" i="5" s="1"/>
  <c r="AL17" i="5"/>
  <c r="AL10" i="5" a="1"/>
  <c r="AL10" i="5" s="1"/>
  <c r="AL15" i="5"/>
  <c r="D514" i="5"/>
  <c r="P227" i="6"/>
  <c r="P213" i="2" s="1"/>
  <c r="P204" i="6"/>
  <c r="P192" i="2" s="1"/>
  <c r="P295" i="6"/>
  <c r="P206" i="6"/>
  <c r="P191" i="2" s="1"/>
  <c r="P203" i="6"/>
  <c r="P197" i="6"/>
  <c r="P186" i="2" s="1"/>
  <c r="P216" i="6"/>
  <c r="P225" i="6"/>
  <c r="P209" i="2" s="1"/>
  <c r="P218" i="6"/>
  <c r="P228" i="6"/>
  <c r="P231" i="6"/>
  <c r="P226" i="6"/>
  <c r="P229" i="6"/>
  <c r="P224" i="6"/>
  <c r="P212" i="2" s="1"/>
  <c r="P299" i="6"/>
  <c r="P202" i="6"/>
  <c r="P302" i="6"/>
  <c r="P18" i="2" s="1"/>
  <c r="P298" i="6"/>
  <c r="P286" i="2" s="1"/>
  <c r="P217" i="6"/>
  <c r="P234" i="6"/>
  <c r="P222" i="2" s="1"/>
  <c r="P219" i="6"/>
  <c r="P237" i="6"/>
  <c r="P227" i="2" s="1"/>
  <c r="P215" i="6"/>
  <c r="P204" i="2" s="1"/>
  <c r="P220" i="6"/>
  <c r="Q204" i="6"/>
  <c r="Q192" i="2" s="1"/>
  <c r="Q226" i="6"/>
  <c r="Q202" i="6"/>
  <c r="Q216" i="6"/>
  <c r="Q302" i="6"/>
  <c r="Q18" i="2" s="1"/>
  <c r="Q229" i="6"/>
  <c r="Q224" i="6"/>
  <c r="Q212" i="2" s="1"/>
  <c r="Q218" i="6"/>
  <c r="Q298" i="6"/>
  <c r="Q286" i="2" s="1"/>
  <c r="Q197" i="6"/>
  <c r="Q186" i="2" s="1"/>
  <c r="Q217" i="6"/>
  <c r="Q228" i="6"/>
  <c r="Q237" i="6"/>
  <c r="Q227" i="2" s="1"/>
  <c r="Q220" i="6"/>
  <c r="Q206" i="6"/>
  <c r="Q191" i="2" s="1"/>
  <c r="Q203" i="6"/>
  <c r="Q225" i="6"/>
  <c r="Q209" i="2" s="1"/>
  <c r="Q227" i="6"/>
  <c r="Q213" i="2" s="1"/>
  <c r="Q219" i="6"/>
  <c r="Q299" i="6"/>
  <c r="Q231" i="6"/>
  <c r="AK9" i="4"/>
  <c r="AE286" i="2"/>
  <c r="AE213" i="2"/>
  <c r="AE212" i="2"/>
  <c r="AC286" i="2"/>
  <c r="AD191" i="2"/>
  <c r="AC189" i="2"/>
  <c r="AD189" i="2"/>
  <c r="AD213" i="2"/>
  <c r="AE192" i="2"/>
  <c r="AD209" i="2"/>
  <c r="AD192" i="2"/>
  <c r="AE189" i="2"/>
  <c r="AE209" i="2"/>
  <c r="AD286" i="2"/>
  <c r="AE186" i="2"/>
  <c r="AD222" i="2"/>
  <c r="AE227" i="2"/>
  <c r="AE191" i="2"/>
  <c r="AD227" i="2"/>
  <c r="AD212" i="2"/>
  <c r="AD204" i="2"/>
  <c r="AD186" i="2"/>
  <c r="N194" i="2" l="1"/>
  <c r="P194" i="2"/>
  <c r="I47" i="6"/>
  <c r="I44" i="6"/>
  <c r="I46" i="6"/>
  <c r="I45" i="6"/>
  <c r="Q194" i="2"/>
  <c r="O194" i="2"/>
  <c r="N380" i="2"/>
  <c r="AK7" i="5"/>
  <c r="H83" i="6"/>
  <c r="H109" i="6" s="1"/>
  <c r="P207" i="2"/>
  <c r="Q207" i="2"/>
  <c r="AL13" i="5"/>
  <c r="Q190" i="2"/>
  <c r="AL9" i="4"/>
  <c r="P190" i="2"/>
  <c r="D566" i="5"/>
  <c r="D565" i="5"/>
  <c r="D15" i="2" s="1"/>
  <c r="E539" i="5"/>
  <c r="E540" i="5" s="1"/>
  <c r="D594" i="5"/>
  <c r="G539" i="5"/>
  <c r="G540" i="5" s="1"/>
  <c r="F539" i="5"/>
  <c r="F540" i="5" s="1"/>
  <c r="H539" i="5"/>
  <c r="H540" i="5" s="1"/>
  <c r="I539" i="5"/>
  <c r="I540" i="5" s="1"/>
  <c r="J539" i="5"/>
  <c r="J540" i="5" s="1"/>
  <c r="K539" i="5"/>
  <c r="K540" i="5" s="1"/>
  <c r="L539" i="5"/>
  <c r="L540" i="5" s="1"/>
  <c r="M539" i="5"/>
  <c r="M540" i="5" s="1"/>
  <c r="N539" i="5"/>
  <c r="N540" i="5" s="1"/>
  <c r="O539" i="5"/>
  <c r="O540" i="5" s="1"/>
  <c r="P539" i="5"/>
  <c r="P540" i="5" s="1"/>
  <c r="Q539" i="5"/>
  <c r="Q540" i="5" s="1"/>
  <c r="R539" i="5"/>
  <c r="R540" i="5" s="1"/>
  <c r="S539" i="5"/>
  <c r="S540" i="5" s="1"/>
  <c r="T539" i="5"/>
  <c r="T540" i="5" s="1"/>
  <c r="U539" i="5"/>
  <c r="U540" i="5" s="1"/>
  <c r="V539" i="5"/>
  <c r="V540" i="5" s="1"/>
  <c r="W539" i="5"/>
  <c r="W540" i="5" s="1"/>
  <c r="X539" i="5"/>
  <c r="X540" i="5" s="1"/>
  <c r="Y539" i="5"/>
  <c r="Y540" i="5" s="1"/>
  <c r="Z539" i="5"/>
  <c r="Z540" i="5" s="1"/>
  <c r="AA539" i="5"/>
  <c r="AA540" i="5" s="1"/>
  <c r="AB539" i="5"/>
  <c r="AB540" i="5" s="1"/>
  <c r="AC539" i="5"/>
  <c r="AC540" i="5" s="1"/>
  <c r="AD539" i="5"/>
  <c r="AD540" i="5" s="1"/>
  <c r="AE539" i="5"/>
  <c r="AE540" i="5" s="1"/>
  <c r="AF539" i="5"/>
  <c r="AF540" i="5" s="1"/>
  <c r="AG539" i="5"/>
  <c r="AG540" i="5" s="1"/>
  <c r="AH539" i="5"/>
  <c r="AH540" i="5" s="1"/>
  <c r="AI539" i="5"/>
  <c r="AI540" i="5" s="1"/>
  <c r="AJ539" i="5"/>
  <c r="AJ540" i="5" s="1"/>
  <c r="AK539" i="5"/>
  <c r="AK540" i="5" s="1"/>
  <c r="Q215" i="2"/>
  <c r="H148" i="6"/>
  <c r="H248" i="2" s="1"/>
  <c r="J121" i="6"/>
  <c r="H52" i="6"/>
  <c r="E31" i="9" s="1"/>
  <c r="P31" i="9" s="1"/>
  <c r="R31" i="9" s="1"/>
  <c r="G175" i="6"/>
  <c r="G275" i="2" s="1"/>
  <c r="L159" i="6"/>
  <c r="L261" i="2" s="1"/>
  <c r="K139" i="6"/>
  <c r="G165" i="6"/>
  <c r="H82" i="6"/>
  <c r="H168" i="6"/>
  <c r="P140" i="6"/>
  <c r="H138" i="6"/>
  <c r="G157" i="6"/>
  <c r="G259" i="2" s="1"/>
  <c r="G20" i="6"/>
  <c r="G45" i="6"/>
  <c r="O120" i="6"/>
  <c r="J150" i="6"/>
  <c r="J245" i="2" s="1"/>
  <c r="N166" i="6"/>
  <c r="O175" i="6"/>
  <c r="O275" i="2" s="1"/>
  <c r="O164" i="6"/>
  <c r="J136" i="6"/>
  <c r="I157" i="6"/>
  <c r="I259" i="2" s="1"/>
  <c r="I127" i="6"/>
  <c r="L123" i="6"/>
  <c r="O123" i="6"/>
  <c r="N116" i="6"/>
  <c r="H127" i="6"/>
  <c r="P154" i="6"/>
  <c r="O121" i="6"/>
  <c r="J140" i="6"/>
  <c r="J116" i="6"/>
  <c r="G171" i="6"/>
  <c r="N156" i="6"/>
  <c r="N258" i="2" s="1"/>
  <c r="G32" i="6"/>
  <c r="J159" i="6"/>
  <c r="J261" i="2" s="1"/>
  <c r="H65" i="6"/>
  <c r="H20" i="6"/>
  <c r="H90" i="6" s="1"/>
  <c r="P116" i="6"/>
  <c r="M158" i="6"/>
  <c r="M254" i="2" s="1"/>
  <c r="P164" i="6"/>
  <c r="O141" i="6"/>
  <c r="H45" i="6"/>
  <c r="P175" i="6"/>
  <c r="P275" i="2" s="1"/>
  <c r="G158" i="6"/>
  <c r="G254" i="2" s="1"/>
  <c r="H289" i="6"/>
  <c r="O137" i="6"/>
  <c r="M169" i="6"/>
  <c r="N121" i="6"/>
  <c r="H116" i="6"/>
  <c r="M290" i="6"/>
  <c r="N157" i="6"/>
  <c r="N259" i="2" s="1"/>
  <c r="H143" i="6"/>
  <c r="L156" i="6"/>
  <c r="L258" i="2" s="1"/>
  <c r="K165" i="6"/>
  <c r="N164" i="6"/>
  <c r="L141" i="6"/>
  <c r="G154" i="6"/>
  <c r="M137" i="6"/>
  <c r="N34" i="6"/>
  <c r="H50" i="6"/>
  <c r="L137" i="6"/>
  <c r="J169" i="6"/>
  <c r="H146" i="6"/>
  <c r="H242" i="2" s="1"/>
  <c r="I175" i="6"/>
  <c r="I275" i="2" s="1"/>
  <c r="O158" i="6"/>
  <c r="O254" i="2" s="1"/>
  <c r="H305" i="6"/>
  <c r="K123" i="6"/>
  <c r="L164" i="6"/>
  <c r="H77" i="6"/>
  <c r="M140" i="6"/>
  <c r="Q157" i="6"/>
  <c r="Q259" i="2" s="1"/>
  <c r="I116" i="6"/>
  <c r="H64" i="6"/>
  <c r="K164" i="6"/>
  <c r="O116" i="6"/>
  <c r="P141" i="6"/>
  <c r="I141" i="6"/>
  <c r="N169" i="6"/>
  <c r="I164" i="6"/>
  <c r="J138" i="6"/>
  <c r="N175" i="6"/>
  <c r="N275" i="2" s="1"/>
  <c r="I290" i="6"/>
  <c r="H120" i="6"/>
  <c r="P139" i="6"/>
  <c r="M116" i="6"/>
  <c r="L154" i="6"/>
  <c r="Q127" i="6"/>
  <c r="L121" i="6"/>
  <c r="J137" i="6"/>
  <c r="O165" i="6"/>
  <c r="J73" i="6"/>
  <c r="J52" i="6"/>
  <c r="K169" i="6"/>
  <c r="H157" i="6"/>
  <c r="H259" i="2" s="1"/>
  <c r="H72" i="6"/>
  <c r="N137" i="6"/>
  <c r="P123" i="6"/>
  <c r="H174" i="6"/>
  <c r="H159" i="6"/>
  <c r="H261" i="2" s="1"/>
  <c r="Q138" i="6"/>
  <c r="G46" i="6"/>
  <c r="J157" i="6"/>
  <c r="J259" i="2" s="1"/>
  <c r="I158" i="6"/>
  <c r="I254" i="2" s="1"/>
  <c r="H175" i="6"/>
  <c r="H275" i="2" s="1"/>
  <c r="Q166" i="6"/>
  <c r="G149" i="6"/>
  <c r="G244" i="2" s="1"/>
  <c r="O169" i="6"/>
  <c r="I165" i="6"/>
  <c r="I137" i="6"/>
  <c r="I139" i="6"/>
  <c r="J290" i="6"/>
  <c r="G38" i="6"/>
  <c r="P159" i="6"/>
  <c r="P261" i="2" s="1"/>
  <c r="O156" i="6"/>
  <c r="O258" i="2" s="1"/>
  <c r="Q123" i="6"/>
  <c r="M159" i="6"/>
  <c r="M261" i="2" s="1"/>
  <c r="H163" i="6"/>
  <c r="P157" i="6"/>
  <c r="P259" i="2" s="1"/>
  <c r="I140" i="6"/>
  <c r="O34" i="6"/>
  <c r="K137" i="6"/>
  <c r="N168" i="6"/>
  <c r="Q154" i="6"/>
  <c r="G148" i="6"/>
  <c r="G248" i="2" s="1"/>
  <c r="H35" i="6"/>
  <c r="I76" i="6"/>
  <c r="I102" i="6" s="1"/>
  <c r="J49" i="6"/>
  <c r="L139" i="6"/>
  <c r="H169" i="6"/>
  <c r="G47" i="6"/>
  <c r="M127" i="6"/>
  <c r="G150" i="6"/>
  <c r="G245" i="2" s="1"/>
  <c r="Q141" i="6"/>
  <c r="J175" i="6"/>
  <c r="J275" i="2" s="1"/>
  <c r="P120" i="6"/>
  <c r="Q158" i="6"/>
  <c r="Q254" i="2" s="1"/>
  <c r="K34" i="6"/>
  <c r="G49" i="6"/>
  <c r="N127" i="6"/>
  <c r="K141" i="6"/>
  <c r="Q139" i="6"/>
  <c r="H62" i="6"/>
  <c r="H69" i="6"/>
  <c r="K159" i="6"/>
  <c r="K261" i="2" s="1"/>
  <c r="O139" i="6"/>
  <c r="P166" i="6"/>
  <c r="O127" i="6"/>
  <c r="N159" i="6"/>
  <c r="N261" i="2" s="1"/>
  <c r="H149" i="6"/>
  <c r="H244" i="2" s="1"/>
  <c r="Q159" i="6"/>
  <c r="Q261" i="2" s="1"/>
  <c r="H115" i="6"/>
  <c r="M166" i="6"/>
  <c r="O154" i="6"/>
  <c r="P127" i="6"/>
  <c r="N138" i="6"/>
  <c r="K120" i="6"/>
  <c r="Q168" i="6"/>
  <c r="H38" i="6"/>
  <c r="H133" i="6"/>
  <c r="H171" i="2" s="1"/>
  <c r="G169" i="6"/>
  <c r="G50" i="6"/>
  <c r="H34" i="6"/>
  <c r="K154" i="6"/>
  <c r="J156" i="6"/>
  <c r="J258" i="2" s="1"/>
  <c r="H33" i="6"/>
  <c r="H12" i="6"/>
  <c r="H89" i="6" s="1"/>
  <c r="J120" i="6"/>
  <c r="H123" i="6"/>
  <c r="I169" i="6"/>
  <c r="I34" i="6"/>
  <c r="L120" i="6"/>
  <c r="P121" i="6"/>
  <c r="K175" i="6"/>
  <c r="K275" i="2" s="1"/>
  <c r="M165" i="6"/>
  <c r="H73" i="6"/>
  <c r="G36" i="6"/>
  <c r="K166" i="6"/>
  <c r="I159" i="6"/>
  <c r="I261" i="2" s="1"/>
  <c r="N165" i="6"/>
  <c r="J139" i="6"/>
  <c r="N154" i="6"/>
  <c r="Q164" i="6"/>
  <c r="H113" i="6"/>
  <c r="G33" i="6"/>
  <c r="G44" i="6"/>
  <c r="G35" i="6"/>
  <c r="O159" i="6"/>
  <c r="O261" i="2" s="1"/>
  <c r="Q175" i="6"/>
  <c r="Q275" i="2" s="1"/>
  <c r="H66" i="6"/>
  <c r="I121" i="6"/>
  <c r="K140" i="6"/>
  <c r="P137" i="6"/>
  <c r="G34" i="6"/>
  <c r="H156" i="6"/>
  <c r="H258" i="2" s="1"/>
  <c r="H171" i="6"/>
  <c r="K121" i="6"/>
  <c r="H126" i="6"/>
  <c r="H297" i="2" s="1"/>
  <c r="G163" i="6"/>
  <c r="H75" i="6"/>
  <c r="G17" i="6"/>
  <c r="K127" i="6"/>
  <c r="G14" i="6"/>
  <c r="L127" i="6"/>
  <c r="N120" i="6"/>
  <c r="K138" i="6"/>
  <c r="L175" i="6"/>
  <c r="L275" i="2" s="1"/>
  <c r="L165" i="6"/>
  <c r="M138" i="6"/>
  <c r="J133" i="6"/>
  <c r="J171" i="2" s="1"/>
  <c r="H68" i="6"/>
  <c r="H290" i="6"/>
  <c r="L169" i="6"/>
  <c r="G12" i="6"/>
  <c r="G339" i="2" s="1"/>
  <c r="P169" i="6"/>
  <c r="K116" i="6"/>
  <c r="J154" i="6"/>
  <c r="M139" i="6"/>
  <c r="G161" i="6"/>
  <c r="G168" i="6"/>
  <c r="M157" i="6"/>
  <c r="M259" i="2" s="1"/>
  <c r="N139" i="6"/>
  <c r="J132" i="6"/>
  <c r="Q169" i="6"/>
  <c r="M168" i="6"/>
  <c r="I138" i="6"/>
  <c r="G155" i="6"/>
  <c r="L140" i="6"/>
  <c r="H141" i="6"/>
  <c r="H80" i="6"/>
  <c r="H71" i="6"/>
  <c r="H97" i="6" s="1"/>
  <c r="N158" i="6"/>
  <c r="N254" i="2" s="1"/>
  <c r="H46" i="6"/>
  <c r="G164" i="6"/>
  <c r="G167" i="6"/>
  <c r="G269" i="2" s="1"/>
  <c r="M164" i="6"/>
  <c r="Q165" i="6"/>
  <c r="H44" i="6"/>
  <c r="O140" i="6"/>
  <c r="G174" i="6"/>
  <c r="H137" i="6"/>
  <c r="H165" i="6"/>
  <c r="H36" i="6"/>
  <c r="H161" i="6"/>
  <c r="J141" i="6"/>
  <c r="H61" i="6"/>
  <c r="G52" i="6"/>
  <c r="H17" i="6"/>
  <c r="M34" i="6"/>
  <c r="I154" i="6"/>
  <c r="H140" i="6"/>
  <c r="P156" i="6"/>
  <c r="P258" i="2" s="1"/>
  <c r="M121" i="6"/>
  <c r="J50" i="6"/>
  <c r="G156" i="6"/>
  <c r="G258" i="2" s="1"/>
  <c r="H76" i="6"/>
  <c r="H102" i="6" s="1"/>
  <c r="P290" i="6"/>
  <c r="L290" i="6"/>
  <c r="K290" i="6"/>
  <c r="L34" i="6"/>
  <c r="H136" i="6"/>
  <c r="I166" i="6"/>
  <c r="L138" i="6"/>
  <c r="J165" i="6"/>
  <c r="H154" i="6"/>
  <c r="Q290" i="6"/>
  <c r="G159" i="6"/>
  <c r="G261" i="2" s="1"/>
  <c r="O168" i="6"/>
  <c r="H158" i="6"/>
  <c r="H254" i="2" s="1"/>
  <c r="H124" i="6"/>
  <c r="L158" i="6"/>
  <c r="L254" i="2" s="1"/>
  <c r="M120" i="6"/>
  <c r="H150" i="6"/>
  <c r="H245" i="2" s="1"/>
  <c r="J34" i="6"/>
  <c r="J127" i="6"/>
  <c r="I168" i="6"/>
  <c r="L166" i="6"/>
  <c r="J158" i="6"/>
  <c r="J254" i="2" s="1"/>
  <c r="K168" i="6"/>
  <c r="K157" i="6"/>
  <c r="K259" i="2" s="1"/>
  <c r="P158" i="6"/>
  <c r="P254" i="2" s="1"/>
  <c r="P138" i="6"/>
  <c r="J164" i="6"/>
  <c r="J143" i="6"/>
  <c r="P34" i="6"/>
  <c r="H167" i="6"/>
  <c r="H269" i="2" s="1"/>
  <c r="M123" i="6"/>
  <c r="G147" i="6"/>
  <c r="G247" i="2" s="1"/>
  <c r="O157" i="6"/>
  <c r="O259" i="2" s="1"/>
  <c r="L157" i="6"/>
  <c r="L259" i="2" s="1"/>
  <c r="M156" i="6"/>
  <c r="M258" i="2" s="1"/>
  <c r="H118" i="6"/>
  <c r="H47" i="6"/>
  <c r="J123" i="6"/>
  <c r="J166" i="6"/>
  <c r="M175" i="6"/>
  <c r="M275" i="2" s="1"/>
  <c r="K156" i="6"/>
  <c r="K258" i="2" s="1"/>
  <c r="I120" i="6"/>
  <c r="H129" i="6"/>
  <c r="H302" i="2" s="1"/>
  <c r="H49" i="6"/>
  <c r="P165" i="6"/>
  <c r="I156" i="6"/>
  <c r="I258" i="2" s="1"/>
  <c r="Q34" i="6"/>
  <c r="H79" i="6"/>
  <c r="H105" i="6" s="1"/>
  <c r="H139" i="6"/>
  <c r="O166" i="6"/>
  <c r="H14" i="6"/>
  <c r="H164" i="6"/>
  <c r="H147" i="6"/>
  <c r="H247" i="2" s="1"/>
  <c r="Q137" i="6"/>
  <c r="N290" i="6"/>
  <c r="L168" i="6"/>
  <c r="N140" i="6"/>
  <c r="H121" i="6"/>
  <c r="Q156" i="6"/>
  <c r="Q258" i="2" s="1"/>
  <c r="M141" i="6"/>
  <c r="H155" i="6"/>
  <c r="H32" i="6"/>
  <c r="G152" i="6"/>
  <c r="G308" i="6" s="1"/>
  <c r="G166" i="6"/>
  <c r="I123" i="6"/>
  <c r="Q120" i="6"/>
  <c r="M154" i="6"/>
  <c r="H132" i="6"/>
  <c r="P168" i="6"/>
  <c r="O290" i="6"/>
  <c r="N123" i="6"/>
  <c r="O138" i="6"/>
  <c r="Q140" i="6"/>
  <c r="K158" i="6"/>
  <c r="K254" i="2" s="1"/>
  <c r="Q116" i="6"/>
  <c r="G146" i="6"/>
  <c r="G242" i="2" s="1"/>
  <c r="Q121" i="6"/>
  <c r="I77" i="6"/>
  <c r="I289" i="6"/>
  <c r="N141" i="6"/>
  <c r="H166" i="6"/>
  <c r="I147" i="6"/>
  <c r="I247" i="2" s="1"/>
  <c r="J168" i="6"/>
  <c r="L116" i="6"/>
  <c r="H152" i="6"/>
  <c r="H308" i="6" s="1"/>
  <c r="N299" i="6"/>
  <c r="O299" i="6"/>
  <c r="Q382" i="2"/>
  <c r="P380" i="2"/>
  <c r="AL539" i="5"/>
  <c r="AL540" i="5" s="1"/>
  <c r="P382" i="2"/>
  <c r="P285" i="2"/>
  <c r="Q294" i="6"/>
  <c r="Q296" i="6" s="1"/>
  <c r="Q287" i="2" s="1"/>
  <c r="P296" i="6"/>
  <c r="P287" i="2" s="1"/>
  <c r="AM7" i="4" a="1"/>
  <c r="AM7" i="4" s="1"/>
  <c r="AM10" i="4" s="1"/>
  <c r="AM13" i="4"/>
  <c r="AN3" i="4"/>
  <c r="AM5" i="4" a="1"/>
  <c r="AM5" i="4" s="1"/>
  <c r="AM11" i="4"/>
  <c r="AM6" i="4" a="1"/>
  <c r="AM6" i="4" s="1"/>
  <c r="AL8" i="4"/>
  <c r="AL2" i="4" s="1"/>
  <c r="P215" i="2"/>
  <c r="Q245" i="6"/>
  <c r="P245" i="6"/>
  <c r="AE275" i="2"/>
  <c r="U242" i="2"/>
  <c r="AE194" i="2"/>
  <c r="U275" i="2"/>
  <c r="V297" i="2"/>
  <c r="V254" i="2"/>
  <c r="V259" i="2"/>
  <c r="V248" i="2"/>
  <c r="Z258" i="2"/>
  <c r="Y259" i="2"/>
  <c r="AD382" i="2"/>
  <c r="Z275" i="2"/>
  <c r="AC194" i="2"/>
  <c r="AA275" i="2"/>
  <c r="AE382" i="2"/>
  <c r="AE287" i="2"/>
  <c r="V244" i="2"/>
  <c r="AD285" i="2"/>
  <c r="AC275" i="2"/>
  <c r="AC258" i="2"/>
  <c r="Z254" i="2"/>
  <c r="X261" i="2"/>
  <c r="U339" i="2"/>
  <c r="AE207" i="2"/>
  <c r="AC261" i="2"/>
  <c r="AD194" i="2"/>
  <c r="AB380" i="2"/>
  <c r="AD254" i="2"/>
  <c r="AD275" i="2"/>
  <c r="V258" i="2"/>
  <c r="V245" i="2"/>
  <c r="AB259" i="2"/>
  <c r="X254" i="2"/>
  <c r="V275" i="2"/>
  <c r="AD258" i="2"/>
  <c r="AA258" i="2"/>
  <c r="V242" i="2"/>
  <c r="V261" i="2"/>
  <c r="Z261" i="2"/>
  <c r="AE254" i="2"/>
  <c r="R15" i="2"/>
  <c r="W275" i="2"/>
  <c r="W259" i="2"/>
  <c r="AD380" i="2"/>
  <c r="U259" i="2"/>
  <c r="Y261" i="2"/>
  <c r="AA261" i="2"/>
  <c r="X259" i="2"/>
  <c r="Y258" i="2"/>
  <c r="Y275" i="2"/>
  <c r="U245" i="2"/>
  <c r="AE215" i="2"/>
  <c r="AD259" i="2"/>
  <c r="V269" i="2"/>
  <c r="X245" i="2"/>
  <c r="AB261" i="2"/>
  <c r="X275" i="2"/>
  <c r="W247" i="2"/>
  <c r="AD190" i="2"/>
  <c r="AC254" i="2"/>
  <c r="AD207" i="2"/>
  <c r="AB194" i="2"/>
  <c r="W258" i="2"/>
  <c r="AB258" i="2"/>
  <c r="X258" i="2"/>
  <c r="AE261" i="2"/>
  <c r="AE190" i="2"/>
  <c r="AD287" i="2"/>
  <c r="V247" i="2"/>
  <c r="U244" i="2"/>
  <c r="U254" i="2"/>
  <c r="U247" i="2"/>
  <c r="AB275" i="2"/>
  <c r="AD215" i="2"/>
  <c r="AA254" i="2"/>
  <c r="U269" i="2"/>
  <c r="X171" i="2"/>
  <c r="V302" i="2"/>
  <c r="AA259" i="2"/>
  <c r="AE258" i="2"/>
  <c r="V171" i="2"/>
  <c r="U248" i="2"/>
  <c r="AC259" i="2"/>
  <c r="AD261" i="2"/>
  <c r="Y254" i="2"/>
  <c r="AE259" i="2"/>
  <c r="U261" i="2"/>
  <c r="Z259" i="2"/>
  <c r="W254" i="2"/>
  <c r="W261" i="2"/>
  <c r="AB254" i="2"/>
  <c r="U258" i="2"/>
  <c r="G31" i="9" l="1"/>
  <c r="D8" i="17"/>
  <c r="H101" i="6"/>
  <c r="H149" i="2"/>
  <c r="H159" i="2"/>
  <c r="H103" i="6"/>
  <c r="I159" i="2"/>
  <c r="I103" i="6"/>
  <c r="Q380" i="2"/>
  <c r="D28" i="2"/>
  <c r="H108" i="6"/>
  <c r="E9" i="9"/>
  <c r="O380" i="2"/>
  <c r="H94" i="6"/>
  <c r="H309" i="6"/>
  <c r="H310" i="6" s="1"/>
  <c r="H311" i="6" s="1"/>
  <c r="G309" i="6"/>
  <c r="G310" i="6" s="1"/>
  <c r="AL7" i="5"/>
  <c r="P266" i="2"/>
  <c r="N266" i="2"/>
  <c r="J174" i="2"/>
  <c r="H174" i="2"/>
  <c r="K271" i="2"/>
  <c r="N271" i="2"/>
  <c r="J271" i="2"/>
  <c r="L271" i="2"/>
  <c r="Q216" i="2"/>
  <c r="H267" i="2"/>
  <c r="G54" i="6"/>
  <c r="G56" i="6"/>
  <c r="H163" i="2"/>
  <c r="H106" i="6"/>
  <c r="G55" i="6"/>
  <c r="H143" i="2"/>
  <c r="H95" i="6"/>
  <c r="H98" i="6"/>
  <c r="J99" i="6"/>
  <c r="H99" i="6"/>
  <c r="Q266" i="2"/>
  <c r="H256" i="2"/>
  <c r="M271" i="2"/>
  <c r="H266" i="2"/>
  <c r="K266" i="2"/>
  <c r="H56" i="6"/>
  <c r="G271" i="2"/>
  <c r="P271" i="2"/>
  <c r="G18" i="6"/>
  <c r="M266" i="2"/>
  <c r="H28" i="6"/>
  <c r="H18" i="6"/>
  <c r="G24" i="9"/>
  <c r="G189" i="6"/>
  <c r="AD546" i="5"/>
  <c r="AD543" i="5"/>
  <c r="N546" i="5"/>
  <c r="N543" i="5"/>
  <c r="E13" i="9"/>
  <c r="H15" i="6"/>
  <c r="E20" i="10"/>
  <c r="E22" i="10" s="1"/>
  <c r="H27" i="6"/>
  <c r="H340" i="2"/>
  <c r="J266" i="2"/>
  <c r="E3" i="10"/>
  <c r="E5" i="10" s="1"/>
  <c r="E7" i="9"/>
  <c r="H140" i="2"/>
  <c r="Q384" i="2"/>
  <c r="J383" i="2"/>
  <c r="AC546" i="5"/>
  <c r="AC543" i="5"/>
  <c r="M546" i="5"/>
  <c r="M543" i="5"/>
  <c r="H383" i="2"/>
  <c r="G191" i="6"/>
  <c r="G190" i="6"/>
  <c r="E23" i="9"/>
  <c r="H55" i="6"/>
  <c r="G384" i="2"/>
  <c r="H271" i="2"/>
  <c r="AB546" i="5"/>
  <c r="AB543" i="5"/>
  <c r="L546" i="5"/>
  <c r="L543" i="5"/>
  <c r="O546" i="5"/>
  <c r="O543" i="5"/>
  <c r="H154" i="2"/>
  <c r="J379" i="2"/>
  <c r="H41" i="6"/>
  <c r="E22" i="9"/>
  <c r="H40" i="6"/>
  <c r="O266" i="2"/>
  <c r="H306" i="6"/>
  <c r="E9" i="10"/>
  <c r="E11" i="10" s="1"/>
  <c r="H277" i="6"/>
  <c r="AA546" i="5"/>
  <c r="AA543" i="5"/>
  <c r="K546" i="5"/>
  <c r="K543" i="5"/>
  <c r="N384" i="2"/>
  <c r="O384" i="2"/>
  <c r="G266" i="2"/>
  <c r="Z546" i="5"/>
  <c r="Z543" i="5"/>
  <c r="J546" i="5"/>
  <c r="J543" i="5"/>
  <c r="G188" i="6"/>
  <c r="L266" i="2"/>
  <c r="I154" i="2"/>
  <c r="E23" i="10"/>
  <c r="E25" i="10" s="1"/>
  <c r="E15" i="9"/>
  <c r="H29" i="6"/>
  <c r="H21" i="6"/>
  <c r="H91" i="6" s="1"/>
  <c r="H341" i="2"/>
  <c r="Y546" i="5"/>
  <c r="Y543" i="5"/>
  <c r="I546" i="5"/>
  <c r="I556" i="5" s="1"/>
  <c r="I543" i="5"/>
  <c r="I555" i="5" s="1"/>
  <c r="AE546" i="5"/>
  <c r="AE543" i="5"/>
  <c r="G246" i="2"/>
  <c r="G23" i="9"/>
  <c r="E6" i="10"/>
  <c r="E8" i="10" s="1"/>
  <c r="E8" i="9"/>
  <c r="H291" i="6"/>
  <c r="H276" i="6"/>
  <c r="Q271" i="2"/>
  <c r="H184" i="6"/>
  <c r="H191" i="6"/>
  <c r="H190" i="6"/>
  <c r="P216" i="2"/>
  <c r="X546" i="5"/>
  <c r="X543" i="5"/>
  <c r="H546" i="5"/>
  <c r="H556" i="5" s="1"/>
  <c r="H543" i="5"/>
  <c r="H555" i="5" s="1"/>
  <c r="E12" i="9"/>
  <c r="P12" i="9" s="1"/>
  <c r="R12" i="9" s="1"/>
  <c r="E17" i="10"/>
  <c r="E19" i="10" s="1"/>
  <c r="H26" i="6"/>
  <c r="H339" i="2"/>
  <c r="G383" i="2"/>
  <c r="G41" i="6"/>
  <c r="G40" i="6"/>
  <c r="H246" i="2"/>
  <c r="W543" i="5"/>
  <c r="W546" i="5"/>
  <c r="F546" i="5"/>
  <c r="F556" i="5" s="1"/>
  <c r="F543" i="5"/>
  <c r="F555" i="5" s="1"/>
  <c r="E24" i="9"/>
  <c r="H54" i="6"/>
  <c r="J384" i="2"/>
  <c r="G21" i="6"/>
  <c r="G341" i="2"/>
  <c r="V543" i="5"/>
  <c r="V546" i="5"/>
  <c r="G546" i="5"/>
  <c r="G556" i="5" s="1"/>
  <c r="G543" i="5"/>
  <c r="G555" i="5" s="1"/>
  <c r="H384" i="2"/>
  <c r="AK543" i="5"/>
  <c r="AK546" i="5"/>
  <c r="U543" i="5"/>
  <c r="U546" i="5"/>
  <c r="AM9" i="4"/>
  <c r="P384" i="2"/>
  <c r="I271" i="2"/>
  <c r="G256" i="2"/>
  <c r="AJ543" i="5"/>
  <c r="AJ546" i="5"/>
  <c r="T543" i="5"/>
  <c r="T546" i="5"/>
  <c r="AL543" i="5"/>
  <c r="AL546" i="5"/>
  <c r="K384" i="2"/>
  <c r="AM8" i="4"/>
  <c r="AM2" i="4" s="1"/>
  <c r="H303" i="2"/>
  <c r="H125" i="2"/>
  <c r="O271" i="2"/>
  <c r="H182" i="6"/>
  <c r="H188" i="6"/>
  <c r="I384" i="2"/>
  <c r="AI543" i="5"/>
  <c r="AI546" i="5"/>
  <c r="S543" i="5"/>
  <c r="S546" i="5"/>
  <c r="E543" i="5"/>
  <c r="E555" i="5" s="1"/>
  <c r="E546" i="5"/>
  <c r="E556" i="5" s="1"/>
  <c r="L384" i="2"/>
  <c r="H187" i="6"/>
  <c r="H181" i="6"/>
  <c r="AH543" i="5"/>
  <c r="AH546" i="5"/>
  <c r="R543" i="5"/>
  <c r="R546" i="5"/>
  <c r="H189" i="6"/>
  <c r="H183" i="6"/>
  <c r="AN13" i="4"/>
  <c r="AN7" i="4" a="1"/>
  <c r="AN7" i="4" s="1"/>
  <c r="AN10" i="4" s="1"/>
  <c r="AO3" i="4"/>
  <c r="AN5" i="4" a="1"/>
  <c r="AN5" i="4" s="1"/>
  <c r="AN6" i="4" a="1"/>
  <c r="AN6" i="4" s="1"/>
  <c r="AN11" i="4"/>
  <c r="AG546" i="5"/>
  <c r="AG543" i="5"/>
  <c r="Q546" i="5"/>
  <c r="Q543" i="5"/>
  <c r="G187" i="6"/>
  <c r="G267" i="2"/>
  <c r="G15" i="6"/>
  <c r="G340" i="2"/>
  <c r="H379" i="2"/>
  <c r="I266" i="2"/>
  <c r="M384" i="2"/>
  <c r="AF546" i="5"/>
  <c r="AF543" i="5"/>
  <c r="P546" i="5"/>
  <c r="P543" i="5"/>
  <c r="U341" i="2"/>
  <c r="AC271" i="2"/>
  <c r="V246" i="2"/>
  <c r="AB271" i="2"/>
  <c r="V339" i="2"/>
  <c r="V125" i="2"/>
  <c r="U271" i="2"/>
  <c r="Y271" i="2"/>
  <c r="AA266" i="2"/>
  <c r="X383" i="2"/>
  <c r="W266" i="2"/>
  <c r="V141" i="2"/>
  <c r="AA271" i="2"/>
  <c r="W154" i="2"/>
  <c r="AE384" i="2"/>
  <c r="AD266" i="2"/>
  <c r="AC384" i="2"/>
  <c r="V271" i="2"/>
  <c r="AD216" i="2"/>
  <c r="Y266" i="2"/>
  <c r="V143" i="2"/>
  <c r="Z384" i="2"/>
  <c r="V379" i="2"/>
  <c r="X384" i="2"/>
  <c r="AD271" i="2"/>
  <c r="U256" i="2"/>
  <c r="V266" i="2"/>
  <c r="X271" i="2"/>
  <c r="AC266" i="2"/>
  <c r="W157" i="2"/>
  <c r="AA384" i="2"/>
  <c r="V163" i="2"/>
  <c r="V159" i="2"/>
  <c r="W384" i="2"/>
  <c r="X266" i="2"/>
  <c r="W159" i="2"/>
  <c r="V267" i="2"/>
  <c r="W158" i="2"/>
  <c r="R28" i="2"/>
  <c r="AE380" i="2"/>
  <c r="AE266" i="2"/>
  <c r="Z266" i="2"/>
  <c r="V174" i="2"/>
  <c r="Z271" i="2"/>
  <c r="U246" i="2"/>
  <c r="U383" i="2"/>
  <c r="AB384" i="2"/>
  <c r="V157" i="2"/>
  <c r="V158" i="2"/>
  <c r="U340" i="2"/>
  <c r="V154" i="2"/>
  <c r="V384" i="2"/>
  <c r="Y384" i="2"/>
  <c r="W271" i="2"/>
  <c r="U267" i="2"/>
  <c r="AB266" i="2"/>
  <c r="V256" i="2"/>
  <c r="V340" i="2"/>
  <c r="AE271" i="2"/>
  <c r="AD384" i="2"/>
  <c r="V341" i="2"/>
  <c r="V383" i="2"/>
  <c r="V303" i="2"/>
  <c r="X174" i="2"/>
  <c r="U266" i="2"/>
  <c r="X379" i="2"/>
  <c r="AE216" i="2"/>
  <c r="AC380" i="2"/>
  <c r="U384" i="2"/>
  <c r="V140" i="2"/>
  <c r="J386" i="2" l="1"/>
  <c r="N386" i="2"/>
  <c r="K386" i="2"/>
  <c r="G386" i="2"/>
  <c r="L386" i="2"/>
  <c r="H262" i="2"/>
  <c r="M386" i="2"/>
  <c r="H385" i="2"/>
  <c r="P386" i="2"/>
  <c r="H272" i="2"/>
  <c r="I386" i="2"/>
  <c r="H331" i="2"/>
  <c r="H249" i="2"/>
  <c r="H335" i="2"/>
  <c r="AZ9" i="9"/>
  <c r="P9" i="9"/>
  <c r="R9" i="9" s="1"/>
  <c r="H333" i="2"/>
  <c r="E27" i="9"/>
  <c r="P22" i="9"/>
  <c r="R22" i="9" s="1"/>
  <c r="E16" i="9"/>
  <c r="P15" i="9"/>
  <c r="R15" i="9" s="1"/>
  <c r="G262" i="2"/>
  <c r="G332" i="2"/>
  <c r="G333" i="2"/>
  <c r="G385" i="2"/>
  <c r="E28" i="9"/>
  <c r="P23" i="9"/>
  <c r="R23" i="9" s="1"/>
  <c r="AZ8" i="9"/>
  <c r="P8" i="9"/>
  <c r="R8" i="9" s="1"/>
  <c r="G272" i="2"/>
  <c r="H137" i="2" a="1"/>
  <c r="H137" i="2" s="1"/>
  <c r="AN9" i="4"/>
  <c r="AN8" i="4"/>
  <c r="AN2" i="4" s="1"/>
  <c r="I335" i="2"/>
  <c r="H386" i="2"/>
  <c r="O386" i="2"/>
  <c r="E14" i="9"/>
  <c r="P13" i="9"/>
  <c r="R13" i="9" s="1"/>
  <c r="AO7" i="4" a="1"/>
  <c r="AO7" i="4" s="1"/>
  <c r="AO10" i="4" s="1"/>
  <c r="AO5" i="4" a="1"/>
  <c r="AO5" i="4" s="1"/>
  <c r="AP3" i="4"/>
  <c r="AO13" i="4"/>
  <c r="AO6" i="4" a="1"/>
  <c r="AO6" i="4" s="1"/>
  <c r="AO11" i="4"/>
  <c r="Q386" i="2"/>
  <c r="H142" i="2"/>
  <c r="H147" i="2" s="1"/>
  <c r="E29" i="9"/>
  <c r="P24" i="9"/>
  <c r="R24" i="9" s="1"/>
  <c r="G331" i="2"/>
  <c r="G249" i="2"/>
  <c r="AZ7" i="9"/>
  <c r="P7" i="9"/>
  <c r="R7" i="9" s="1"/>
  <c r="Y386" i="2"/>
  <c r="V137" i="2"/>
  <c r="U331" i="2"/>
  <c r="V386" i="2"/>
  <c r="V262" i="2"/>
  <c r="U332" i="2"/>
  <c r="V147" i="2"/>
  <c r="U262" i="2"/>
  <c r="AD386" i="2"/>
  <c r="U385" i="2"/>
  <c r="X386" i="2"/>
  <c r="V333" i="2"/>
  <c r="AB386" i="2"/>
  <c r="V142" i="2"/>
  <c r="U249" i="2"/>
  <c r="V331" i="2"/>
  <c r="V335" i="2"/>
  <c r="AE386" i="2"/>
  <c r="AC386" i="2"/>
  <c r="V272" i="2"/>
  <c r="W335" i="2"/>
  <c r="V385" i="2"/>
  <c r="W386" i="2"/>
  <c r="U386" i="2"/>
  <c r="AA386" i="2"/>
  <c r="U272" i="2"/>
  <c r="U333" i="2"/>
  <c r="Z386" i="2"/>
  <c r="V249" i="2"/>
  <c r="H282" i="2" l="1"/>
  <c r="H263" i="2"/>
  <c r="H273" i="2"/>
  <c r="AO8" i="4"/>
  <c r="AO2" i="4" s="1"/>
  <c r="AO9" i="4"/>
  <c r="H276" i="2"/>
  <c r="H278" i="2"/>
  <c r="H250" i="2"/>
  <c r="H122" i="2"/>
  <c r="H334" i="2"/>
  <c r="H332" i="2"/>
  <c r="G273" i="2"/>
  <c r="G282" i="2"/>
  <c r="G263" i="2"/>
  <c r="AZ16" i="9"/>
  <c r="P16" i="9"/>
  <c r="R16" i="9" s="1"/>
  <c r="AZ27" i="9"/>
  <c r="P27" i="9"/>
  <c r="R27" i="9" s="1"/>
  <c r="AZ28" i="9"/>
  <c r="P28" i="9"/>
  <c r="R28" i="9" s="1"/>
  <c r="AP5" i="4" a="1"/>
  <c r="AP5" i="4" s="1"/>
  <c r="AQ3" i="4"/>
  <c r="AP13" i="4"/>
  <c r="AP6" i="4" a="1"/>
  <c r="AP6" i="4" s="1"/>
  <c r="AP7" i="4" a="1"/>
  <c r="AP7" i="4" s="1"/>
  <c r="AP10" i="4" s="1"/>
  <c r="AP11" i="4"/>
  <c r="G278" i="2"/>
  <c r="G276" i="2"/>
  <c r="G250" i="2"/>
  <c r="AZ14" i="9"/>
  <c r="P14" i="9"/>
  <c r="R14" i="9" s="1"/>
  <c r="AZ29" i="9"/>
  <c r="P29" i="9"/>
  <c r="R29" i="9" s="1"/>
  <c r="V278" i="2"/>
  <c r="V122" i="2"/>
  <c r="U278" i="2"/>
  <c r="V149" i="2"/>
  <c r="V276" i="2"/>
  <c r="V332" i="2"/>
  <c r="V334" i="2"/>
  <c r="U276" i="2"/>
  <c r="H134" i="2" l="1" a="1"/>
  <c r="H134" i="2" s="1"/>
  <c r="H307" i="2"/>
  <c r="G307" i="2"/>
  <c r="AP8" i="4"/>
  <c r="AP2" i="4" s="1"/>
  <c r="AP9" i="4"/>
  <c r="H321" i="2"/>
  <c r="H314" i="2"/>
  <c r="H156" i="2"/>
  <c r="H123" i="2"/>
  <c r="H336" i="2"/>
  <c r="H327" i="2"/>
  <c r="AQ13" i="4"/>
  <c r="AR3" i="4"/>
  <c r="AQ6" i="4" a="1"/>
  <c r="AQ6" i="4" s="1"/>
  <c r="AQ11" i="4"/>
  <c r="AQ7" i="4" a="1"/>
  <c r="AQ7" i="4" s="1"/>
  <c r="AQ10" i="4" s="1"/>
  <c r="AQ5" i="4" a="1"/>
  <c r="AQ5" i="4" s="1"/>
  <c r="U307" i="2"/>
  <c r="V307" i="2"/>
  <c r="V314" i="2"/>
  <c r="V327" i="2"/>
  <c r="V321" i="2"/>
  <c r="V123" i="2"/>
  <c r="V336" i="2"/>
  <c r="V134" i="2"/>
  <c r="V156" i="2"/>
  <c r="AQ8" i="4" l="1"/>
  <c r="AQ2" i="4" s="1"/>
  <c r="H135" i="2" a="1"/>
  <c r="H135" i="2" s="1"/>
  <c r="H377" i="2"/>
  <c r="H323" i="2"/>
  <c r="H328" i="2"/>
  <c r="H315" i="2"/>
  <c r="H320" i="2"/>
  <c r="H162" i="2"/>
  <c r="AQ9" i="4"/>
  <c r="AR11" i="4"/>
  <c r="AS3" i="4"/>
  <c r="AR13" i="4"/>
  <c r="AR6" i="4" a="1"/>
  <c r="AR6" i="4" s="1"/>
  <c r="AR5" i="4" a="1"/>
  <c r="AR5" i="4" s="1"/>
  <c r="AR7" i="4" a="1"/>
  <c r="AR7" i="4" s="1"/>
  <c r="AR10" i="4" s="1"/>
  <c r="V320" i="2"/>
  <c r="V162" i="2"/>
  <c r="V315" i="2"/>
  <c r="V377" i="2"/>
  <c r="V323" i="2"/>
  <c r="V135" i="2"/>
  <c r="V328" i="2"/>
  <c r="AR8" i="4" l="1"/>
  <c r="AR2" i="4" s="1"/>
  <c r="AS13" i="4"/>
  <c r="AS6" i="4" a="1"/>
  <c r="AS6" i="4" s="1"/>
  <c r="AS11" i="4"/>
  <c r="AS7" i="4" a="1"/>
  <c r="AS7" i="4" s="1"/>
  <c r="AS10" i="4" s="1"/>
  <c r="AS5" i="4" a="1"/>
  <c r="AS5" i="4" s="1"/>
  <c r="AT3" i="4"/>
  <c r="AR9" i="4"/>
  <c r="H165" i="2"/>
  <c r="H306" i="2"/>
  <c r="V306" i="2"/>
  <c r="V165" i="2"/>
  <c r="AS8" i="4" l="1"/>
  <c r="AS2" i="4" s="1"/>
  <c r="H167" i="2"/>
  <c r="AT13" i="4"/>
  <c r="AT7" i="4" a="1"/>
  <c r="AT7" i="4" s="1"/>
  <c r="AT10" i="4" s="1"/>
  <c r="AT6" i="4" a="1"/>
  <c r="AT6" i="4" s="1"/>
  <c r="AT5" i="4" a="1"/>
  <c r="AT5" i="4" s="1"/>
  <c r="AT11" i="4"/>
  <c r="AU3" i="4"/>
  <c r="AS9" i="4"/>
  <c r="V167" i="2"/>
  <c r="AT8" i="4" l="1"/>
  <c r="AT2" i="4" s="1"/>
  <c r="H169" i="2"/>
  <c r="AT9" i="4"/>
  <c r="AU11" i="4"/>
  <c r="AU13" i="4"/>
  <c r="AU7" i="4" a="1"/>
  <c r="AU7" i="4" s="1"/>
  <c r="AU10" i="4" s="1"/>
  <c r="AU5" i="4" a="1"/>
  <c r="AU5" i="4" s="1"/>
  <c r="AV3" i="4"/>
  <c r="AU6" i="4" a="1"/>
  <c r="AU6" i="4" s="1"/>
  <c r="V169" i="2"/>
  <c r="AU8" i="4" l="1"/>
  <c r="AU2" i="4" s="1"/>
  <c r="AU9" i="4"/>
  <c r="H316" i="2"/>
  <c r="H296" i="2"/>
  <c r="H172" i="2"/>
  <c r="H322" i="2"/>
  <c r="AV7" i="4" a="1"/>
  <c r="AV7" i="4" s="1"/>
  <c r="AV10" i="4" s="1"/>
  <c r="AV11" i="4"/>
  <c r="AV5" i="4" a="1"/>
  <c r="AV5" i="4" s="1"/>
  <c r="AV6" i="4" a="1"/>
  <c r="AV6" i="4" s="1"/>
  <c r="AV13" i="4"/>
  <c r="AW3" i="4"/>
  <c r="V172" i="2"/>
  <c r="V316" i="2"/>
  <c r="V296" i="2"/>
  <c r="V322" i="2"/>
  <c r="AW7" i="4" l="1" a="1"/>
  <c r="AW7" i="4" s="1"/>
  <c r="AW10" i="4" s="1"/>
  <c r="AW5" i="4" a="1"/>
  <c r="AW5" i="4" s="1"/>
  <c r="AW11" i="4"/>
  <c r="AW13" i="4"/>
  <c r="AX3" i="4"/>
  <c r="AW6" i="4" a="1"/>
  <c r="AW6" i="4" s="1"/>
  <c r="AV9" i="4"/>
  <c r="AV8" i="4"/>
  <c r="AV2" i="4" s="1"/>
  <c r="H176" i="2"/>
  <c r="V176" i="2"/>
  <c r="AW9" i="4" l="1"/>
  <c r="H177" i="2"/>
  <c r="H298" i="2"/>
  <c r="AW8" i="4"/>
  <c r="AW2" i="4" s="1"/>
  <c r="AX7" i="4" a="1"/>
  <c r="AX7" i="4" s="1"/>
  <c r="AX10" i="4" s="1"/>
  <c r="AX5" i="4" a="1"/>
  <c r="AX5" i="4" s="1"/>
  <c r="AX11" i="4"/>
  <c r="AX13" i="4"/>
  <c r="AY3" i="4"/>
  <c r="AX6" i="4" a="1"/>
  <c r="AX6" i="4" s="1"/>
  <c r="V298" i="2"/>
  <c r="AX9" i="4" l="1"/>
  <c r="AX8" i="4"/>
  <c r="AX2" i="4" s="1"/>
  <c r="H299" i="2"/>
  <c r="H124" i="2"/>
  <c r="H300" i="2"/>
  <c r="AY11" i="4"/>
  <c r="AY6" i="4" a="1"/>
  <c r="AY6" i="4" s="1"/>
  <c r="AY13" i="4"/>
  <c r="AY7" i="4" a="1"/>
  <c r="AY7" i="4" s="1"/>
  <c r="AY10" i="4" s="1"/>
  <c r="AY5" i="4" a="1"/>
  <c r="AY5" i="4" s="1"/>
  <c r="AZ3" i="4"/>
  <c r="V299" i="2"/>
  <c r="V300" i="2"/>
  <c r="V124" i="2"/>
  <c r="H136" i="2" l="1" a="1"/>
  <c r="H136" i="2" s="1"/>
  <c r="AY8" i="4"/>
  <c r="AY2" i="4" s="1"/>
  <c r="AZ11" i="4"/>
  <c r="AZ6" i="4" a="1"/>
  <c r="AZ6" i="4" s="1"/>
  <c r="BA3" i="4"/>
  <c r="AZ5" i="4" a="1"/>
  <c r="AZ5" i="4" s="1"/>
  <c r="AZ7" i="4" a="1"/>
  <c r="AZ7" i="4" s="1"/>
  <c r="AZ10" i="4" s="1"/>
  <c r="AZ13" i="4"/>
  <c r="H301" i="2"/>
  <c r="AY9" i="4"/>
  <c r="V301" i="2"/>
  <c r="V136" i="2"/>
  <c r="AZ9" i="4" l="1"/>
  <c r="AZ8" i="4"/>
  <c r="AZ2" i="4" s="1"/>
  <c r="BA11" i="4"/>
  <c r="BA13" i="4"/>
  <c r="BA6" i="4" a="1"/>
  <c r="BA6" i="4" s="1"/>
  <c r="BB3" i="4"/>
  <c r="BA5" i="4" a="1"/>
  <c r="BA5" i="4" s="1"/>
  <c r="BA7" i="4" a="1"/>
  <c r="BA7" i="4" s="1"/>
  <c r="BA10" i="4" s="1"/>
  <c r="BA9" i="4" l="1"/>
  <c r="BA8" i="4"/>
  <c r="BA2" i="4" s="1"/>
  <c r="BB7" i="4" a="1"/>
  <c r="BB7" i="4" s="1"/>
  <c r="BB10" i="4" s="1"/>
  <c r="BB11" i="4"/>
  <c r="BB6" i="4" a="1"/>
  <c r="BB6" i="4" s="1"/>
  <c r="BB13" i="4"/>
  <c r="BC3" i="4"/>
  <c r="BB5" i="4" a="1"/>
  <c r="BB5" i="4" s="1"/>
  <c r="BB8" i="4" l="1"/>
  <c r="BB2" i="4" s="1"/>
  <c r="BB9" i="4"/>
  <c r="BD3" i="4"/>
  <c r="BC7" i="4" a="1"/>
  <c r="BC7" i="4" s="1"/>
  <c r="BC10" i="4" s="1"/>
  <c r="BC5" i="4" a="1"/>
  <c r="BC5" i="4" s="1"/>
  <c r="BC13" i="4"/>
  <c r="BC11" i="4"/>
  <c r="BC6" i="4" a="1"/>
  <c r="BC6" i="4" s="1"/>
  <c r="BC9" i="4" l="1"/>
  <c r="BC8" i="4"/>
  <c r="BC2" i="4" s="1"/>
  <c r="BD13" i="4"/>
  <c r="BE3" i="4"/>
  <c r="BD5" i="4" a="1"/>
  <c r="BD5" i="4" s="1"/>
  <c r="BD6" i="4" a="1"/>
  <c r="BD6" i="4" s="1"/>
  <c r="BD11" i="4"/>
  <c r="BD7" i="4" a="1"/>
  <c r="BD7" i="4" s="1"/>
  <c r="BD10" i="4" s="1"/>
  <c r="BD8" i="4" l="1"/>
  <c r="BD2" i="4" s="1"/>
  <c r="BE5" i="4" a="1"/>
  <c r="BE5" i="4" s="1"/>
  <c r="BF3" i="4"/>
  <c r="BE7" i="4" a="1"/>
  <c r="BE7" i="4" s="1"/>
  <c r="BE10" i="4" s="1"/>
  <c r="BE13" i="4"/>
  <c r="BE11" i="4"/>
  <c r="BE6" i="4" a="1"/>
  <c r="BE6" i="4" s="1"/>
  <c r="BD9" i="4"/>
  <c r="BE9" i="4" l="1"/>
  <c r="BE8" i="4"/>
  <c r="BE2" i="4" s="1"/>
  <c r="BF5" i="4" a="1"/>
  <c r="BF5" i="4" s="1"/>
  <c r="BF7" i="4" a="1"/>
  <c r="BF7" i="4" s="1"/>
  <c r="BF10" i="4" s="1"/>
  <c r="BG3" i="4"/>
  <c r="BF13" i="4"/>
  <c r="BF11" i="4"/>
  <c r="BF6" i="4" a="1"/>
  <c r="BF6" i="4" s="1"/>
  <c r="BF8" i="4" l="1"/>
  <c r="BF2" i="4" s="1"/>
  <c r="BF9" i="4"/>
  <c r="BG13" i="4"/>
  <c r="BG7" i="4" a="1"/>
  <c r="BG7" i="4" s="1"/>
  <c r="BG10" i="4" s="1"/>
  <c r="BH3" i="4"/>
  <c r="BG6" i="4" a="1"/>
  <c r="BG6" i="4" s="1"/>
  <c r="BG11" i="4"/>
  <c r="BG5" i="4" a="1"/>
  <c r="BG5" i="4" s="1"/>
  <c r="BG8" i="4" l="1"/>
  <c r="BG2" i="4" s="1"/>
  <c r="BG9" i="4"/>
  <c r="BH11" i="4"/>
  <c r="BI3" i="4"/>
  <c r="BH6" i="4" a="1"/>
  <c r="BH6" i="4" s="1"/>
  <c r="BH5" i="4" a="1"/>
  <c r="BH5" i="4" s="1"/>
  <c r="BH13" i="4"/>
  <c r="BH7" i="4" a="1"/>
  <c r="BH7" i="4" s="1"/>
  <c r="BH10" i="4" s="1"/>
  <c r="BI6" i="4" l="1" a="1"/>
  <c r="BI6" i="4" s="1"/>
  <c r="BI13" i="4"/>
  <c r="BJ3" i="4"/>
  <c r="BI11" i="4"/>
  <c r="BI5" i="4" a="1"/>
  <c r="BI5" i="4" s="1"/>
  <c r="BI7" i="4" a="1"/>
  <c r="BI7" i="4" s="1"/>
  <c r="BI10" i="4" s="1"/>
  <c r="BH9" i="4"/>
  <c r="BH8" i="4"/>
  <c r="BH2" i="4" s="1"/>
  <c r="R35" i="2"/>
  <c r="BJ13" i="4" l="1"/>
  <c r="BJ7" i="4" a="1"/>
  <c r="BJ7" i="4" s="1"/>
  <c r="BJ10" i="4" s="1"/>
  <c r="BJ6" i="4" a="1"/>
  <c r="BJ6" i="4" s="1"/>
  <c r="BK3" i="4"/>
  <c r="BJ11" i="4"/>
  <c r="BJ5" i="4" a="1"/>
  <c r="BJ5" i="4" s="1"/>
  <c r="BI8" i="4"/>
  <c r="BI2" i="4" s="1"/>
  <c r="BI9" i="4"/>
  <c r="BJ9" i="4" l="1"/>
  <c r="BJ8" i="4"/>
  <c r="BJ2" i="4" s="1"/>
  <c r="BK11" i="4"/>
  <c r="BK13" i="4"/>
  <c r="BK5" i="4" a="1"/>
  <c r="BK5" i="4" s="1"/>
  <c r="BL3" i="4"/>
  <c r="BK6" i="4" a="1"/>
  <c r="BK6" i="4" s="1"/>
  <c r="BK7" i="4" a="1"/>
  <c r="BK7" i="4" s="1"/>
  <c r="BK10" i="4" s="1"/>
  <c r="BK8" i="4" l="1"/>
  <c r="BK2" i="4" s="1"/>
  <c r="BL13" i="4"/>
  <c r="BL5" i="4" a="1"/>
  <c r="BL5" i="4" s="1"/>
  <c r="BL11" i="4"/>
  <c r="BL7" i="4" a="1"/>
  <c r="BL7" i="4" s="1"/>
  <c r="BL10" i="4" s="1"/>
  <c r="BL6" i="4" a="1"/>
  <c r="BL6" i="4" s="1"/>
  <c r="BM3" i="4"/>
  <c r="BK9" i="4"/>
  <c r="BL8" i="4" l="1"/>
  <c r="BL2" i="4" s="1"/>
  <c r="BL9" i="4"/>
  <c r="BM13" i="4"/>
  <c r="BM5" i="4" a="1"/>
  <c r="BM5" i="4" s="1"/>
  <c r="BM11" i="4"/>
  <c r="BM6" i="4" a="1"/>
  <c r="BM6" i="4" s="1"/>
  <c r="BN3" i="4"/>
  <c r="BM7" i="4" a="1"/>
  <c r="BM7" i="4" s="1"/>
  <c r="BM10" i="4" s="1"/>
  <c r="BM9" i="4" l="1"/>
  <c r="BM8" i="4"/>
  <c r="BM2" i="4" s="1"/>
  <c r="BN13" i="4"/>
  <c r="BN5" i="4" a="1"/>
  <c r="BN5" i="4" s="1"/>
  <c r="BN7" i="4" a="1"/>
  <c r="BN7" i="4" s="1"/>
  <c r="BN10" i="4" s="1"/>
  <c r="BO3" i="4"/>
  <c r="BN11" i="4"/>
  <c r="BN6" i="4" a="1"/>
  <c r="BN6" i="4" s="1"/>
  <c r="BN8" i="4" l="1"/>
  <c r="BN2" i="4" s="1"/>
  <c r="BN9" i="4"/>
  <c r="BO13" i="4"/>
  <c r="BO7" i="4" a="1"/>
  <c r="BO7" i="4" s="1"/>
  <c r="BO10" i="4" s="1"/>
  <c r="BO11" i="4"/>
  <c r="BO6" i="4" a="1"/>
  <c r="BO6" i="4" s="1"/>
  <c r="BO5" i="4" a="1"/>
  <c r="BO5" i="4" s="1"/>
  <c r="BP3" i="4"/>
  <c r="BO8" i="4" l="1"/>
  <c r="BO2" i="4" s="1"/>
  <c r="BO9" i="4"/>
  <c r="BP7" i="4" a="1"/>
  <c r="BP7" i="4" s="1"/>
  <c r="BP10" i="4" s="1"/>
  <c r="BP11" i="4"/>
  <c r="BQ3" i="4"/>
  <c r="BP5" i="4" a="1"/>
  <c r="BP5" i="4" s="1"/>
  <c r="BP13" i="4"/>
  <c r="BP6" i="4" a="1"/>
  <c r="BP6" i="4" s="1"/>
  <c r="BP8" i="4" l="1"/>
  <c r="BP2" i="4" s="1"/>
  <c r="BP9" i="4"/>
  <c r="BQ11" i="4"/>
  <c r="BQ13" i="4"/>
  <c r="BQ6" i="4" a="1"/>
  <c r="BQ6" i="4" s="1"/>
  <c r="BR3" i="4"/>
  <c r="BQ5" i="4" a="1"/>
  <c r="BQ5" i="4" s="1"/>
  <c r="BQ7" i="4" a="1"/>
  <c r="BQ7" i="4" s="1"/>
  <c r="BQ10" i="4" s="1"/>
  <c r="BQ8" i="4" l="1"/>
  <c r="BQ2" i="4" s="1"/>
  <c r="BQ9" i="4"/>
  <c r="BR7" i="4" a="1"/>
  <c r="BR7" i="4" s="1"/>
  <c r="BR10" i="4" s="1"/>
  <c r="BR6" i="4" a="1"/>
  <c r="BR6" i="4" s="1"/>
  <c r="BR11" i="4"/>
  <c r="BR5" i="4" a="1"/>
  <c r="BR5" i="4" s="1"/>
  <c r="BR13" i="4"/>
  <c r="BS3" i="4"/>
  <c r="BR8" i="4" l="1"/>
  <c r="BR2" i="4" s="1"/>
  <c r="BS6" i="4" a="1"/>
  <c r="BS6" i="4" s="1"/>
  <c r="BS11" i="4"/>
  <c r="BT3" i="4"/>
  <c r="BS5" i="4" a="1"/>
  <c r="BS5" i="4" s="1"/>
  <c r="BS13" i="4"/>
  <c r="BS7" i="4" a="1"/>
  <c r="BS7" i="4" s="1"/>
  <c r="BS10" i="4" s="1"/>
  <c r="BR9" i="4"/>
  <c r="BS8" i="4" l="1"/>
  <c r="BS2" i="4" s="1"/>
  <c r="BT13" i="4"/>
  <c r="BT11" i="4"/>
  <c r="BU3" i="4"/>
  <c r="BT5" i="4" a="1"/>
  <c r="BT5" i="4" s="1"/>
  <c r="BT7" i="4" a="1"/>
  <c r="BT7" i="4" s="1"/>
  <c r="BT10" i="4" s="1"/>
  <c r="BT6" i="4" a="1"/>
  <c r="BT6" i="4" s="1"/>
  <c r="BS9" i="4"/>
  <c r="BT9" i="4" l="1"/>
  <c r="BU11" i="4"/>
  <c r="BU5" i="4" a="1"/>
  <c r="BU5" i="4" s="1"/>
  <c r="BV3" i="4"/>
  <c r="BU7" i="4" a="1"/>
  <c r="BU7" i="4" s="1"/>
  <c r="BU10" i="4" s="1"/>
  <c r="BU13" i="4"/>
  <c r="BU6" i="4" a="1"/>
  <c r="BU6" i="4" s="1"/>
  <c r="BT8" i="4"/>
  <c r="BT2" i="4" s="1"/>
  <c r="BU9" i="4" l="1"/>
  <c r="BU8" i="4"/>
  <c r="BU2" i="4" s="1"/>
  <c r="BV6" i="4" a="1"/>
  <c r="BV6" i="4" s="1"/>
  <c r="BV5" i="4" a="1"/>
  <c r="BV5" i="4" s="1"/>
  <c r="BW3" i="4"/>
  <c r="BV13" i="4"/>
  <c r="BV11" i="4"/>
  <c r="BV7" i="4" a="1"/>
  <c r="BV7" i="4" s="1"/>
  <c r="BV10" i="4" s="1"/>
  <c r="BW13" i="4" l="1"/>
  <c r="BX3" i="4"/>
  <c r="BW7" i="4" a="1"/>
  <c r="BW7" i="4" s="1"/>
  <c r="BW10" i="4" s="1"/>
  <c r="BW11" i="4"/>
  <c r="BW6" i="4" a="1"/>
  <c r="BW6" i="4" s="1"/>
  <c r="BW5" i="4" a="1"/>
  <c r="BW5" i="4" s="1"/>
  <c r="BV9" i="4"/>
  <c r="BV8" i="4"/>
  <c r="BV2" i="4" s="1"/>
  <c r="BW8" i="4" l="1"/>
  <c r="BW2" i="4" s="1"/>
  <c r="BW9" i="4"/>
  <c r="BX11" i="4"/>
  <c r="BY3" i="4"/>
  <c r="BX7" i="4" a="1"/>
  <c r="BX7" i="4" s="1"/>
  <c r="BX10" i="4" s="1"/>
  <c r="BX6" i="4" a="1"/>
  <c r="BX6" i="4" s="1"/>
  <c r="BX5" i="4" a="1"/>
  <c r="BX5" i="4" s="1"/>
  <c r="BX13" i="4"/>
  <c r="BX8" i="4" l="1"/>
  <c r="BX2" i="4" s="1"/>
  <c r="BX9" i="4"/>
  <c r="BY7" i="4" a="1"/>
  <c r="BY7" i="4" s="1"/>
  <c r="BY10" i="4" s="1"/>
  <c r="BY11" i="4"/>
  <c r="BY6" i="4" a="1"/>
  <c r="BY6" i="4" s="1"/>
  <c r="BY13" i="4"/>
  <c r="BY5" i="4" a="1"/>
  <c r="BY5" i="4" s="1"/>
  <c r="BZ3" i="4"/>
  <c r="BY8" i="4" l="1"/>
  <c r="BY2" i="4" s="1"/>
  <c r="BY9" i="4"/>
  <c r="BZ13" i="4"/>
  <c r="BZ7" i="4" a="1"/>
  <c r="BZ7" i="4" s="1"/>
  <c r="BZ10" i="4" s="1"/>
  <c r="BZ6" i="4" a="1"/>
  <c r="BZ6" i="4" s="1"/>
  <c r="BZ11" i="4"/>
  <c r="BZ5" i="4" a="1"/>
  <c r="BZ5" i="4" s="1"/>
  <c r="CA3" i="4"/>
  <c r="BZ8" i="4" l="1"/>
  <c r="BZ2" i="4" s="1"/>
  <c r="CA11" i="4"/>
  <c r="CA6" i="4" a="1"/>
  <c r="CA6" i="4" s="1"/>
  <c r="CA5" i="4" a="1"/>
  <c r="CA5" i="4" s="1"/>
  <c r="CA13" i="4"/>
  <c r="CA7" i="4" a="1"/>
  <c r="CA7" i="4" s="1"/>
  <c r="CA10" i="4" s="1"/>
  <c r="CB3" i="4"/>
  <c r="J285" i="5" s="1"/>
  <c r="BZ9" i="4"/>
  <c r="H285" i="5" l="1"/>
  <c r="E285" i="5"/>
  <c r="F285" i="5"/>
  <c r="G285" i="5"/>
  <c r="I285" i="5"/>
  <c r="CB6" i="4" a="1"/>
  <c r="CB6" i="4" s="1"/>
  <c r="CB5" i="4" a="1"/>
  <c r="CB5" i="4" s="1"/>
  <c r="CB13" i="4"/>
  <c r="CB11" i="4"/>
  <c r="CB7" i="4" a="1"/>
  <c r="CB7" i="4" s="1"/>
  <c r="CB10" i="4" s="1"/>
  <c r="CA8" i="4"/>
  <c r="CA2" i="4" s="1"/>
  <c r="CA9" i="4"/>
  <c r="CB9" i="4" l="1"/>
  <c r="CB8" i="4"/>
  <c r="CB2" i="4" s="1"/>
  <c r="J420" i="5" l="1"/>
  <c r="J413" i="5"/>
  <c r="J256" i="5"/>
  <c r="J277" i="5"/>
  <c r="J266" i="5"/>
  <c r="J74" i="5"/>
  <c r="J67" i="5"/>
  <c r="I413" i="5"/>
  <c r="K63" i="5"/>
  <c r="I420" i="5"/>
  <c r="M420" i="5"/>
  <c r="K413" i="5"/>
  <c r="K420" i="5"/>
  <c r="L420" i="5"/>
  <c r="L413" i="5"/>
  <c r="M413" i="5"/>
  <c r="O420" i="5"/>
  <c r="O413" i="5"/>
  <c r="N413" i="5"/>
  <c r="P413" i="5"/>
  <c r="N420" i="5"/>
  <c r="Q420" i="5"/>
  <c r="P420" i="5"/>
  <c r="Q413" i="5"/>
  <c r="R413" i="5"/>
  <c r="R420" i="5"/>
  <c r="T413" i="5"/>
  <c r="S420" i="5"/>
  <c r="S413" i="5"/>
  <c r="W413" i="5"/>
  <c r="T420" i="5"/>
  <c r="V420" i="5"/>
  <c r="U413" i="5"/>
  <c r="V413" i="5"/>
  <c r="U420" i="5"/>
  <c r="Y420" i="5"/>
  <c r="X420" i="5"/>
  <c r="Z420" i="5"/>
  <c r="W420" i="5"/>
  <c r="Y413" i="5"/>
  <c r="AC420" i="5"/>
  <c r="AA420" i="5"/>
  <c r="X413" i="5"/>
  <c r="AA413" i="5"/>
  <c r="AB413" i="5"/>
  <c r="Z413" i="5"/>
  <c r="AB420" i="5"/>
  <c r="AC413" i="5"/>
  <c r="AD420" i="5"/>
  <c r="AF413" i="5"/>
  <c r="AD413" i="5"/>
  <c r="AE420" i="5"/>
  <c r="AF420" i="5"/>
  <c r="AG413" i="5"/>
  <c r="AE413" i="5"/>
  <c r="AH413" i="5"/>
  <c r="AH420" i="5"/>
  <c r="AG420" i="5"/>
  <c r="AJ413" i="5"/>
  <c r="AI413" i="5"/>
  <c r="AI420" i="5"/>
  <c r="AL413" i="5"/>
  <c r="AJ420" i="5"/>
  <c r="AL420" i="5"/>
  <c r="AK413" i="5"/>
  <c r="AK420" i="5"/>
  <c r="E277" i="5"/>
  <c r="F277" i="5"/>
  <c r="E266" i="5"/>
  <c r="G256" i="5"/>
  <c r="E256" i="5"/>
  <c r="G277" i="5"/>
  <c r="G266" i="5"/>
  <c r="F266" i="5"/>
  <c r="H277" i="5"/>
  <c r="F256" i="5"/>
  <c r="I277" i="5"/>
  <c r="H266" i="5"/>
  <c r="H256" i="5"/>
  <c r="I266" i="5"/>
  <c r="I256" i="5"/>
  <c r="E204" i="5"/>
  <c r="F204" i="5"/>
  <c r="H204" i="5"/>
  <c r="G204" i="5"/>
  <c r="J204" i="5"/>
  <c r="I204" i="5"/>
  <c r="F67" i="5"/>
  <c r="G216" i="5"/>
  <c r="G74" i="5"/>
  <c r="G67" i="5"/>
  <c r="E67" i="5"/>
  <c r="F216" i="5"/>
  <c r="F74" i="5"/>
  <c r="F63" i="5"/>
  <c r="E74" i="5"/>
  <c r="G63" i="5"/>
  <c r="E63" i="5"/>
  <c r="E216" i="5"/>
  <c r="H74" i="5"/>
  <c r="H67" i="5"/>
  <c r="H63" i="5"/>
  <c r="H216" i="5"/>
  <c r="I63" i="5"/>
  <c r="I67" i="5"/>
  <c r="I216" i="5"/>
  <c r="J216" i="5"/>
  <c r="I74" i="5"/>
  <c r="J63" i="5"/>
  <c r="J230" i="5"/>
  <c r="J219" i="5" l="1"/>
  <c r="J15" i="8"/>
  <c r="I20" i="6"/>
  <c r="J12" i="8"/>
  <c r="I12" i="6"/>
  <c r="J13" i="8"/>
  <c r="I14" i="6"/>
  <c r="I64" i="6"/>
  <c r="J194" i="5"/>
  <c r="I65" i="6"/>
  <c r="J189" i="5"/>
  <c r="I61" i="6"/>
  <c r="L64" i="5"/>
  <c r="J14" i="8" l="1"/>
  <c r="CU14" i="8" s="1"/>
  <c r="J198" i="5"/>
  <c r="I33" i="6" s="1"/>
  <c r="J200" i="5"/>
  <c r="I35" i="6" s="1"/>
  <c r="L12" i="8"/>
  <c r="J12" i="6"/>
  <c r="D3" i="17" s="1"/>
  <c r="I17" i="6"/>
  <c r="I89" i="6"/>
  <c r="F12" i="9"/>
  <c r="S12" i="9" s="1"/>
  <c r="T12" i="9" s="1"/>
  <c r="F17" i="10"/>
  <c r="F19" i="10" s="1"/>
  <c r="I26" i="6"/>
  <c r="I339" i="2"/>
  <c r="I90" i="6"/>
  <c r="I29" i="6"/>
  <c r="F15" i="9"/>
  <c r="I21" i="6"/>
  <c r="I91" i="6" s="1"/>
  <c r="F23" i="10"/>
  <c r="F25" i="10" s="1"/>
  <c r="I341" i="2"/>
  <c r="F13" i="9"/>
  <c r="F20" i="10"/>
  <c r="F22" i="10" s="1"/>
  <c r="I15" i="6"/>
  <c r="I340" i="2"/>
  <c r="I27" i="6"/>
  <c r="J16" i="8"/>
  <c r="CU16" i="8" s="1"/>
  <c r="L194" i="5"/>
  <c r="L200" i="5" s="1"/>
  <c r="J35" i="6" s="1"/>
  <c r="L201" i="5"/>
  <c r="J36" i="6" s="1"/>
  <c r="N64" i="5"/>
  <c r="L218" i="5"/>
  <c r="L71" i="5"/>
  <c r="L68" i="5"/>
  <c r="L189" i="5"/>
  <c r="L198" i="5" s="1"/>
  <c r="J33" i="6" s="1"/>
  <c r="L105" i="5"/>
  <c r="J61" i="6" s="1"/>
  <c r="W339" i="2"/>
  <c r="W341" i="2"/>
  <c r="W340" i="2"/>
  <c r="F14" i="9" l="1"/>
  <c r="S13" i="9"/>
  <c r="T13" i="9" s="1"/>
  <c r="F16" i="9"/>
  <c r="S15" i="9"/>
  <c r="T15" i="9" s="1"/>
  <c r="I66" i="6"/>
  <c r="I62" i="6"/>
  <c r="I18" i="6"/>
  <c r="I28" i="6"/>
  <c r="L13" i="8"/>
  <c r="L14" i="8" s="1"/>
  <c r="CW14" i="8" s="1"/>
  <c r="J14" i="6"/>
  <c r="D4" i="17" s="1"/>
  <c r="L109" i="5"/>
  <c r="J65" i="6" s="1"/>
  <c r="J17" i="6"/>
  <c r="N12" i="8"/>
  <c r="K12" i="6"/>
  <c r="E3" i="17" s="1"/>
  <c r="J89" i="6"/>
  <c r="J339" i="2"/>
  <c r="J26" i="6"/>
  <c r="G12" i="9"/>
  <c r="G17" i="10"/>
  <c r="G19" i="10" s="1"/>
  <c r="I196" i="6"/>
  <c r="I184" i="2" s="1"/>
  <c r="I213" i="6"/>
  <c r="I203" i="2" s="1"/>
  <c r="I72" i="6"/>
  <c r="L108" i="5"/>
  <c r="J64" i="6" s="1"/>
  <c r="L75" i="5"/>
  <c r="L230" i="5" s="1"/>
  <c r="N194" i="5"/>
  <c r="N200" i="5" s="1"/>
  <c r="K35" i="6" s="1"/>
  <c r="N71" i="5"/>
  <c r="N68" i="5"/>
  <c r="P64" i="5"/>
  <c r="N189" i="5"/>
  <c r="N198" i="5" s="1"/>
  <c r="K33" i="6" s="1"/>
  <c r="N201" i="5"/>
  <c r="K36" i="6" s="1"/>
  <c r="N105" i="5"/>
  <c r="K61" i="6" s="1"/>
  <c r="J23" i="8"/>
  <c r="J28" i="8" s="1"/>
  <c r="CU28" i="8" s="1"/>
  <c r="J186" i="5"/>
  <c r="J197" i="5" s="1"/>
  <c r="J201" i="5" s="1"/>
  <c r="X339" i="2"/>
  <c r="W184" i="2"/>
  <c r="W203" i="2"/>
  <c r="BA16" i="9" l="1"/>
  <c r="S16" i="9"/>
  <c r="T16" i="9" s="1"/>
  <c r="BA14" i="9"/>
  <c r="S14" i="9"/>
  <c r="T14" i="9" s="1"/>
  <c r="P12" i="8"/>
  <c r="L12" i="6"/>
  <c r="F3" i="17" s="1"/>
  <c r="N13" i="8"/>
  <c r="N14" i="8" s="1"/>
  <c r="CY14" i="8" s="1"/>
  <c r="K14" i="6"/>
  <c r="E4" i="17" s="1"/>
  <c r="L15" i="8"/>
  <c r="J20" i="6"/>
  <c r="D6" i="17" s="1"/>
  <c r="J28" i="6"/>
  <c r="J18" i="6"/>
  <c r="I98" i="6"/>
  <c r="K89" i="6"/>
  <c r="K26" i="6"/>
  <c r="H12" i="9"/>
  <c r="H17" i="10"/>
  <c r="H19" i="10" s="1"/>
  <c r="K339" i="2"/>
  <c r="N109" i="5"/>
  <c r="K65" i="6" s="1"/>
  <c r="K17" i="6"/>
  <c r="G13" i="9"/>
  <c r="G14" i="9" s="1"/>
  <c r="BB14" i="9" s="1"/>
  <c r="G20" i="10"/>
  <c r="G22" i="10" s="1"/>
  <c r="J340" i="2"/>
  <c r="J27" i="6"/>
  <c r="J15" i="6"/>
  <c r="D5" i="17" s="1"/>
  <c r="I217" i="2"/>
  <c r="I32" i="6"/>
  <c r="I136" i="6"/>
  <c r="J24" i="8"/>
  <c r="J29" i="8" s="1"/>
  <c r="CU29" i="8" s="1"/>
  <c r="I49" i="6"/>
  <c r="J7" i="8"/>
  <c r="CU7" i="8" s="1"/>
  <c r="I68" i="6"/>
  <c r="P68" i="5"/>
  <c r="P194" i="5"/>
  <c r="P200" i="5" s="1"/>
  <c r="L35" i="6" s="1"/>
  <c r="P71" i="5"/>
  <c r="P201" i="5"/>
  <c r="L36" i="6" s="1"/>
  <c r="P105" i="5"/>
  <c r="L61" i="6" s="1"/>
  <c r="R64" i="5"/>
  <c r="P189" i="5"/>
  <c r="P198" i="5" s="1"/>
  <c r="L33" i="6" s="1"/>
  <c r="L110" i="5"/>
  <c r="L106" i="5"/>
  <c r="I195" i="6"/>
  <c r="N75" i="5"/>
  <c r="N108" i="5"/>
  <c r="K64" i="6" s="1"/>
  <c r="L208" i="5"/>
  <c r="L76" i="5"/>
  <c r="L186" i="5"/>
  <c r="L197" i="5" s="1"/>
  <c r="L219" i="5"/>
  <c r="J218" i="5"/>
  <c r="I305" i="6"/>
  <c r="I155" i="6"/>
  <c r="X340" i="2"/>
  <c r="Y339" i="2"/>
  <c r="W217" i="2"/>
  <c r="W141" i="2"/>
  <c r="I256" i="2" l="1"/>
  <c r="I309" i="6"/>
  <c r="I235" i="6"/>
  <c r="I223" i="2" s="1"/>
  <c r="J178" i="5"/>
  <c r="F24" i="9"/>
  <c r="I54" i="6"/>
  <c r="I94" i="6"/>
  <c r="F3" i="10"/>
  <c r="F5" i="10" s="1"/>
  <c r="F7" i="9"/>
  <c r="I140" i="2"/>
  <c r="J22" i="8"/>
  <c r="J27" i="8" s="1"/>
  <c r="CU27" i="8" s="1"/>
  <c r="I38" i="6"/>
  <c r="J90" i="6"/>
  <c r="J55" i="6"/>
  <c r="G23" i="10"/>
  <c r="G25" i="10" s="1"/>
  <c r="G15" i="9"/>
  <c r="J56" i="6"/>
  <c r="J29" i="6"/>
  <c r="J21" i="6"/>
  <c r="J341" i="2"/>
  <c r="J54" i="6"/>
  <c r="I333" i="2"/>
  <c r="I262" i="2"/>
  <c r="J205" i="5"/>
  <c r="L28" i="8"/>
  <c r="CW28" i="8" s="1"/>
  <c r="L29" i="8"/>
  <c r="CW29" i="8" s="1"/>
  <c r="L16" i="8"/>
  <c r="CW16" i="8" s="1"/>
  <c r="L203" i="5"/>
  <c r="L113" i="5" s="1"/>
  <c r="J32" i="6"/>
  <c r="K340" i="2"/>
  <c r="H13" i="9"/>
  <c r="H14" i="9" s="1"/>
  <c r="BC14" i="9" s="1"/>
  <c r="H20" i="10"/>
  <c r="H22" i="10" s="1"/>
  <c r="K27" i="6"/>
  <c r="K15" i="6"/>
  <c r="E5" i="17" s="1"/>
  <c r="P13" i="8"/>
  <c r="P14" i="8" s="1"/>
  <c r="DA14" i="8" s="1"/>
  <c r="L14" i="6"/>
  <c r="F4" i="17" s="1"/>
  <c r="I306" i="6"/>
  <c r="N15" i="8"/>
  <c r="N16" i="8" s="1"/>
  <c r="CY16" i="8" s="1"/>
  <c r="K20" i="6"/>
  <c r="E6" i="17" s="1"/>
  <c r="L112" i="5"/>
  <c r="J66" i="6"/>
  <c r="R12" i="8"/>
  <c r="M12" i="6"/>
  <c r="L89" i="6"/>
  <c r="L339" i="2"/>
  <c r="L26" i="6"/>
  <c r="I12" i="9"/>
  <c r="I17" i="10"/>
  <c r="I19" i="10" s="1"/>
  <c r="I52" i="6"/>
  <c r="I50" i="6"/>
  <c r="L133" i="5"/>
  <c r="J62" i="6"/>
  <c r="P109" i="5"/>
  <c r="L65" i="6" s="1"/>
  <c r="L17" i="6"/>
  <c r="K18" i="6"/>
  <c r="K28" i="6"/>
  <c r="I183" i="2"/>
  <c r="N226" i="5"/>
  <c r="N186" i="5"/>
  <c r="N197" i="5" s="1"/>
  <c r="N76" i="5"/>
  <c r="N23" i="8"/>
  <c r="I161" i="6"/>
  <c r="J551" i="5"/>
  <c r="K377" i="5"/>
  <c r="J252" i="5"/>
  <c r="J253" i="5" s="1"/>
  <c r="R68" i="5"/>
  <c r="T64" i="5"/>
  <c r="R189" i="5"/>
  <c r="R198" i="5" s="1"/>
  <c r="M33" i="6" s="1"/>
  <c r="R105" i="5"/>
  <c r="M61" i="6" s="1"/>
  <c r="R194" i="5"/>
  <c r="R200" i="5" s="1"/>
  <c r="M35" i="6" s="1"/>
  <c r="R71" i="5"/>
  <c r="R201" i="5"/>
  <c r="M36" i="6" s="1"/>
  <c r="N106" i="5"/>
  <c r="N110" i="5"/>
  <c r="P75" i="5"/>
  <c r="P108" i="5"/>
  <c r="L64" i="6" s="1"/>
  <c r="K352" i="5"/>
  <c r="K340" i="5" s="1"/>
  <c r="K341" i="5" s="1"/>
  <c r="K120" i="5" s="1"/>
  <c r="N208" i="5"/>
  <c r="W140" i="2"/>
  <c r="X341" i="2"/>
  <c r="Z339" i="2"/>
  <c r="W183" i="2"/>
  <c r="Y340" i="2"/>
  <c r="W333" i="2"/>
  <c r="W256" i="2"/>
  <c r="W262" i="2"/>
  <c r="W223" i="2"/>
  <c r="J91" i="6" l="1"/>
  <c r="D7" i="17"/>
  <c r="L361" i="5"/>
  <c r="L362" i="5" s="1"/>
  <c r="L142" i="5"/>
  <c r="L167" i="5" s="1"/>
  <c r="I143" i="6"/>
  <c r="J180" i="5"/>
  <c r="BA7" i="9"/>
  <c r="S7" i="9"/>
  <c r="T7" i="9" s="1"/>
  <c r="K329" i="5"/>
  <c r="L329" i="5" s="1"/>
  <c r="J235" i="6" s="1"/>
  <c r="J223" i="2" s="1"/>
  <c r="F29" i="9"/>
  <c r="S24" i="9"/>
  <c r="T24" i="9" s="1"/>
  <c r="I56" i="6"/>
  <c r="F31" i="9"/>
  <c r="S31" i="9" s="1"/>
  <c r="T31" i="9" s="1"/>
  <c r="N28" i="8"/>
  <c r="CY28" i="8" s="1"/>
  <c r="K356" i="5"/>
  <c r="L352" i="5" s="1"/>
  <c r="L340" i="5" s="1"/>
  <c r="L341" i="5" s="1"/>
  <c r="L120" i="5" s="1"/>
  <c r="J76" i="6" s="1"/>
  <c r="L371" i="5"/>
  <c r="L372" i="5" s="1"/>
  <c r="L307" i="5" s="1"/>
  <c r="J213" i="6" s="1"/>
  <c r="L353" i="5"/>
  <c r="L259" i="5" s="1"/>
  <c r="J155" i="6" s="1"/>
  <c r="L238" i="5"/>
  <c r="L116" i="5" s="1"/>
  <c r="J72" i="6" s="1"/>
  <c r="L134" i="5"/>
  <c r="L211" i="5"/>
  <c r="L210" i="5"/>
  <c r="I133" i="6"/>
  <c r="I171" i="2" s="1"/>
  <c r="L366" i="5"/>
  <c r="L367" i="5" s="1"/>
  <c r="L291" i="5" s="1"/>
  <c r="J196" i="6" s="1"/>
  <c r="J184" i="2" s="1"/>
  <c r="I132" i="6"/>
  <c r="G29" i="9"/>
  <c r="BB29" i="9" s="1"/>
  <c r="G28" i="9"/>
  <c r="BB28" i="9" s="1"/>
  <c r="G16" i="9"/>
  <c r="BB16" i="9" s="1"/>
  <c r="L22" i="8"/>
  <c r="L27" i="8" s="1"/>
  <c r="CW27" i="8" s="1"/>
  <c r="J38" i="6"/>
  <c r="N203" i="5"/>
  <c r="N210" i="5" s="1"/>
  <c r="K32" i="6"/>
  <c r="M89" i="6"/>
  <c r="M339" i="2"/>
  <c r="J17" i="10"/>
  <c r="J19" i="10" s="1"/>
  <c r="J12" i="9"/>
  <c r="M26" i="6"/>
  <c r="F22" i="9"/>
  <c r="I40" i="6"/>
  <c r="I41" i="6"/>
  <c r="T12" i="8"/>
  <c r="N12" i="6"/>
  <c r="K17" i="10" s="1"/>
  <c r="K19" i="10" s="1"/>
  <c r="L28" i="6"/>
  <c r="L18" i="6"/>
  <c r="K624" i="5"/>
  <c r="K626" i="5" s="1"/>
  <c r="I142" i="2"/>
  <c r="P15" i="8"/>
  <c r="P16" i="8" s="1"/>
  <c r="DA16" i="8" s="1"/>
  <c r="L20" i="6"/>
  <c r="F6" i="17" s="1"/>
  <c r="I196" i="2"/>
  <c r="N112" i="5"/>
  <c r="N142" i="5" s="1"/>
  <c r="N167" i="5" s="1"/>
  <c r="K66" i="6"/>
  <c r="I69" i="6"/>
  <c r="L7" i="8"/>
  <c r="CW7" i="8" s="1"/>
  <c r="J68" i="6"/>
  <c r="I209" i="6"/>
  <c r="I205" i="6"/>
  <c r="I193" i="2" s="1"/>
  <c r="R13" i="8"/>
  <c r="R14" i="8" s="1"/>
  <c r="DC14" i="8" s="1"/>
  <c r="M14" i="6"/>
  <c r="J231" i="5"/>
  <c r="N133" i="5"/>
  <c r="K62" i="6"/>
  <c r="K90" i="6"/>
  <c r="K21" i="6"/>
  <c r="H15" i="9"/>
  <c r="H16" i="9" s="1"/>
  <c r="BC16" i="9" s="1"/>
  <c r="H23" i="10"/>
  <c r="H25" i="10" s="1"/>
  <c r="K341" i="2"/>
  <c r="K29" i="6"/>
  <c r="N234" i="5"/>
  <c r="N172" i="5" s="1"/>
  <c r="N24" i="8"/>
  <c r="N29" i="8" s="1"/>
  <c r="CY29" i="8" s="1"/>
  <c r="K49" i="6"/>
  <c r="I182" i="6"/>
  <c r="I188" i="6"/>
  <c r="I263" i="2"/>
  <c r="R109" i="5"/>
  <c r="M65" i="6" s="1"/>
  <c r="M17" i="6"/>
  <c r="L115" i="5"/>
  <c r="J71" i="6" s="1"/>
  <c r="J97" i="6" s="1"/>
  <c r="J69" i="6"/>
  <c r="I55" i="6"/>
  <c r="F23" i="9"/>
  <c r="L340" i="2"/>
  <c r="L15" i="6"/>
  <c r="F5" i="17" s="1"/>
  <c r="L27" i="6"/>
  <c r="I20" i="10"/>
  <c r="I22" i="10" s="1"/>
  <c r="I13" i="9"/>
  <c r="I14" i="9" s="1"/>
  <c r="BD14" i="9" s="1"/>
  <c r="N218" i="5"/>
  <c r="N227" i="5"/>
  <c r="L290" i="5"/>
  <c r="J195" i="6" s="1"/>
  <c r="K552" i="5"/>
  <c r="K252" i="5"/>
  <c r="T68" i="5"/>
  <c r="T201" i="5"/>
  <c r="N36" i="6" s="1"/>
  <c r="T194" i="5"/>
  <c r="T200" i="5" s="1"/>
  <c r="N35" i="6" s="1"/>
  <c r="V64" i="5"/>
  <c r="T189" i="5"/>
  <c r="T198" i="5" s="1"/>
  <c r="N33" i="6" s="1"/>
  <c r="T71" i="5"/>
  <c r="T105" i="5"/>
  <c r="N61" i="6" s="1"/>
  <c r="P106" i="5"/>
  <c r="P110" i="5"/>
  <c r="I149" i="6"/>
  <c r="I244" i="2" s="1"/>
  <c r="J552" i="5"/>
  <c r="R108" i="5"/>
  <c r="M64" i="6" s="1"/>
  <c r="R75" i="5"/>
  <c r="P208" i="5"/>
  <c r="P226" i="5"/>
  <c r="P217" i="5"/>
  <c r="P23" i="8" s="1"/>
  <c r="P76" i="5"/>
  <c r="P186" i="5"/>
  <c r="P197" i="5" s="1"/>
  <c r="X223" i="2"/>
  <c r="W142" i="2"/>
  <c r="W196" i="2"/>
  <c r="AA339" i="2"/>
  <c r="W244" i="2"/>
  <c r="Y341" i="2"/>
  <c r="W193" i="2"/>
  <c r="X184" i="2"/>
  <c r="W171" i="2"/>
  <c r="Z340" i="2"/>
  <c r="X141" i="2"/>
  <c r="K91" i="6" l="1"/>
  <c r="E7" i="17"/>
  <c r="K300" i="5"/>
  <c r="K304" i="5" s="1"/>
  <c r="F27" i="9"/>
  <c r="S22" i="9"/>
  <c r="T22" i="9" s="1"/>
  <c r="L376" i="5"/>
  <c r="BA29" i="9"/>
  <c r="S29" i="9"/>
  <c r="T29" i="9" s="1"/>
  <c r="J98" i="6"/>
  <c r="F28" i="9"/>
  <c r="S23" i="9"/>
  <c r="T23" i="9" s="1"/>
  <c r="L346" i="5"/>
  <c r="L347" i="5" s="1"/>
  <c r="J305" i="6" s="1"/>
  <c r="J306" i="6" s="1"/>
  <c r="I174" i="2"/>
  <c r="J256" i="2"/>
  <c r="J309" i="6"/>
  <c r="I379" i="2"/>
  <c r="I150" i="6"/>
  <c r="I245" i="2" s="1"/>
  <c r="J549" i="5"/>
  <c r="N113" i="5"/>
  <c r="N115" i="5" s="1"/>
  <c r="N211" i="5"/>
  <c r="L135" i="5"/>
  <c r="J102" i="6"/>
  <c r="J154" i="2"/>
  <c r="I334" i="2"/>
  <c r="J94" i="6"/>
  <c r="G3" i="10"/>
  <c r="G5" i="10" s="1"/>
  <c r="G7" i="9"/>
  <c r="BB7" i="9" s="1"/>
  <c r="J140" i="2"/>
  <c r="N7" i="8"/>
  <c r="CY7" i="8" s="1"/>
  <c r="K68" i="6"/>
  <c r="L90" i="6"/>
  <c r="L21" i="6"/>
  <c r="I15" i="9"/>
  <c r="I16" i="9" s="1"/>
  <c r="BD16" i="9" s="1"/>
  <c r="I23" i="10"/>
  <c r="I25" i="10" s="1"/>
  <c r="L29" i="6"/>
  <c r="L341" i="2"/>
  <c r="N178" i="5"/>
  <c r="K136" i="6"/>
  <c r="N366" i="5"/>
  <c r="N367" i="5" s="1"/>
  <c r="N291" i="5" s="1"/>
  <c r="K196" i="6" s="1"/>
  <c r="K184" i="2" s="1"/>
  <c r="T13" i="8"/>
  <c r="T14" i="8" s="1"/>
  <c r="DE14" i="8" s="1"/>
  <c r="N14" i="6"/>
  <c r="K20" i="10" s="1"/>
  <c r="K22" i="10" s="1"/>
  <c r="N353" i="5"/>
  <c r="N259" i="5" s="1"/>
  <c r="K155" i="6" s="1"/>
  <c r="I122" i="2"/>
  <c r="I332" i="2"/>
  <c r="N22" i="8"/>
  <c r="N27" i="8" s="1"/>
  <c r="CY27" i="8" s="1"/>
  <c r="K38" i="6"/>
  <c r="J143" i="2"/>
  <c r="J95" i="6"/>
  <c r="V12" i="8"/>
  <c r="O12" i="6"/>
  <c r="L17" i="10" s="1"/>
  <c r="L19" i="10" s="1"/>
  <c r="G22" i="9"/>
  <c r="G27" i="9" s="1"/>
  <c r="BB27" i="9" s="1"/>
  <c r="J41" i="6"/>
  <c r="J40" i="6"/>
  <c r="P28" i="8"/>
  <c r="DA28" i="8" s="1"/>
  <c r="N238" i="5"/>
  <c r="N116" i="5" s="1"/>
  <c r="K72" i="6" s="1"/>
  <c r="J20" i="10"/>
  <c r="J22" i="10" s="1"/>
  <c r="M15" i="6"/>
  <c r="M27" i="6"/>
  <c r="M340" i="2"/>
  <c r="J13" i="9"/>
  <c r="J14" i="9" s="1"/>
  <c r="BE14" i="9" s="1"/>
  <c r="I73" i="6"/>
  <c r="I143" i="2"/>
  <c r="I95" i="6"/>
  <c r="N229" i="5"/>
  <c r="K52" i="6" s="1"/>
  <c r="E8" i="17" s="1"/>
  <c r="K50" i="6"/>
  <c r="L119" i="5"/>
  <c r="M18" i="6"/>
  <c r="M28" i="6"/>
  <c r="P112" i="5"/>
  <c r="L66" i="6"/>
  <c r="P203" i="5"/>
  <c r="P210" i="5" s="1"/>
  <c r="L32" i="6"/>
  <c r="N371" i="5"/>
  <c r="N372" i="5" s="1"/>
  <c r="N307" i="5" s="1"/>
  <c r="K213" i="6" s="1"/>
  <c r="K203" i="2" s="1"/>
  <c r="I71" i="6"/>
  <c r="I97" i="6" s="1"/>
  <c r="T109" i="5"/>
  <c r="N65" i="6" s="1"/>
  <c r="N17" i="6"/>
  <c r="N361" i="5"/>
  <c r="N362" i="5" s="1"/>
  <c r="N290" i="5" s="1"/>
  <c r="K195" i="6" s="1"/>
  <c r="P133" i="5"/>
  <c r="L62" i="6"/>
  <c r="N134" i="5"/>
  <c r="H24" i="9"/>
  <c r="H29" i="9" s="1"/>
  <c r="BC29" i="9" s="1"/>
  <c r="K54" i="6"/>
  <c r="I195" i="2"/>
  <c r="N89" i="6"/>
  <c r="K12" i="9"/>
  <c r="N26" i="6"/>
  <c r="N339" i="2"/>
  <c r="P234" i="5"/>
  <c r="P172" i="5" s="1"/>
  <c r="P24" i="8"/>
  <c r="P29" i="8" s="1"/>
  <c r="DA29" i="8" s="1"/>
  <c r="L49" i="6"/>
  <c r="R15" i="8"/>
  <c r="R16" i="8" s="1"/>
  <c r="DC16" i="8" s="1"/>
  <c r="M20" i="6"/>
  <c r="I243" i="6"/>
  <c r="L356" i="5"/>
  <c r="M352" i="5" s="1"/>
  <c r="M340" i="5" s="1"/>
  <c r="M341" i="5" s="1"/>
  <c r="M120" i="5" s="1"/>
  <c r="J183" i="2"/>
  <c r="J203" i="2"/>
  <c r="R106" i="5"/>
  <c r="R110" i="5"/>
  <c r="L265" i="5"/>
  <c r="J161" i="6" s="1"/>
  <c r="L551" i="5"/>
  <c r="V194" i="5"/>
  <c r="V200" i="5" s="1"/>
  <c r="O35" i="6" s="1"/>
  <c r="V201" i="5"/>
  <c r="O36" i="6" s="1"/>
  <c r="V68" i="5"/>
  <c r="V105" i="5"/>
  <c r="O61" i="6" s="1"/>
  <c r="V189" i="5"/>
  <c r="V198" i="5" s="1"/>
  <c r="O33" i="6" s="1"/>
  <c r="X64" i="5"/>
  <c r="V71" i="5"/>
  <c r="M329" i="5"/>
  <c r="P218" i="5"/>
  <c r="P227" i="5"/>
  <c r="L377" i="5"/>
  <c r="M377" i="5"/>
  <c r="T108" i="5"/>
  <c r="N64" i="6" s="1"/>
  <c r="T75" i="5"/>
  <c r="R208" i="5"/>
  <c r="R186" i="5"/>
  <c r="R197" i="5" s="1"/>
  <c r="R76" i="5"/>
  <c r="R217" i="5"/>
  <c r="R23" i="8" s="1"/>
  <c r="R226" i="5"/>
  <c r="W122" i="2"/>
  <c r="Z341" i="2"/>
  <c r="W332" i="2"/>
  <c r="X143" i="2"/>
  <c r="W245" i="2"/>
  <c r="W379" i="2"/>
  <c r="W195" i="2"/>
  <c r="X140" i="2"/>
  <c r="W174" i="2"/>
  <c r="X154" i="2"/>
  <c r="W334" i="2"/>
  <c r="AA340" i="2"/>
  <c r="AB339" i="2"/>
  <c r="Y184" i="2"/>
  <c r="W143" i="2"/>
  <c r="X256" i="2"/>
  <c r="X183" i="2"/>
  <c r="X203" i="2"/>
  <c r="Y203" i="2"/>
  <c r="L91" i="6" l="1"/>
  <c r="F7" i="17"/>
  <c r="J262" i="2"/>
  <c r="L624" i="5"/>
  <c r="L626" i="5" s="1"/>
  <c r="P238" i="5"/>
  <c r="P116" i="5" s="1"/>
  <c r="L72" i="6" s="1"/>
  <c r="P142" i="5"/>
  <c r="P167" i="5" s="1"/>
  <c r="K69" i="6"/>
  <c r="BA28" i="9"/>
  <c r="S28" i="9"/>
  <c r="T28" i="9" s="1"/>
  <c r="K56" i="6"/>
  <c r="H31" i="9"/>
  <c r="BA27" i="9"/>
  <c r="S27" i="9"/>
  <c r="T27" i="9" s="1"/>
  <c r="N117" i="5"/>
  <c r="N119" i="5" s="1"/>
  <c r="N231" i="5"/>
  <c r="J333" i="2"/>
  <c r="I383" i="2"/>
  <c r="M441" i="5"/>
  <c r="K256" i="2"/>
  <c r="K309" i="6"/>
  <c r="L548" i="5"/>
  <c r="L4" i="5"/>
  <c r="L441" i="5"/>
  <c r="L136" i="5"/>
  <c r="L144" i="5"/>
  <c r="L168" i="5" s="1"/>
  <c r="L249" i="5"/>
  <c r="J146" i="6" s="1"/>
  <c r="J242" i="2" s="1"/>
  <c r="P361" i="5"/>
  <c r="P362" i="5" s="1"/>
  <c r="P290" i="5" s="1"/>
  <c r="L195" i="6" s="1"/>
  <c r="L183" i="2" s="1"/>
  <c r="N376" i="5"/>
  <c r="N377" i="5" s="1"/>
  <c r="N346" i="5"/>
  <c r="N347" i="5" s="1"/>
  <c r="K305" i="6" s="1"/>
  <c r="K306" i="6" s="1"/>
  <c r="R28" i="8"/>
  <c r="DC28" i="8" s="1"/>
  <c r="H22" i="9"/>
  <c r="H27" i="9" s="1"/>
  <c r="BC27" i="9" s="1"/>
  <c r="K41" i="6"/>
  <c r="K40" i="6"/>
  <c r="R234" i="5"/>
  <c r="R172" i="5" s="1"/>
  <c r="R24" i="8"/>
  <c r="R29" i="8" s="1"/>
  <c r="DC29" i="8" s="1"/>
  <c r="M49" i="6"/>
  <c r="J8" i="8"/>
  <c r="CU8" i="8" s="1"/>
  <c r="I75" i="6"/>
  <c r="I149" i="2" s="1"/>
  <c r="I147" i="2" s="1"/>
  <c r="J548" i="5"/>
  <c r="I146" i="6"/>
  <c r="I242" i="2" s="1"/>
  <c r="J624" i="5"/>
  <c r="J626" i="5" s="1"/>
  <c r="J627" i="5" s="1"/>
  <c r="J629" i="5" s="1"/>
  <c r="J630" i="5" s="1"/>
  <c r="J550" i="5" s="1"/>
  <c r="J441" i="5"/>
  <c r="J4" i="5"/>
  <c r="K441" i="5"/>
  <c r="R203" i="5"/>
  <c r="R113" i="5" s="1"/>
  <c r="M32" i="6"/>
  <c r="O89" i="6"/>
  <c r="L12" i="9"/>
  <c r="O26" i="6"/>
  <c r="O339" i="2"/>
  <c r="P178" i="5"/>
  <c r="L136" i="6"/>
  <c r="V13" i="8"/>
  <c r="V14" i="8" s="1"/>
  <c r="DG14" i="8" s="1"/>
  <c r="O14" i="6"/>
  <c r="L20" i="10" s="1"/>
  <c r="L22" i="10" s="1"/>
  <c r="J196" i="2"/>
  <c r="J142" i="2"/>
  <c r="L98" i="6"/>
  <c r="V109" i="5"/>
  <c r="O65" i="6" s="1"/>
  <c r="O17" i="6"/>
  <c r="K94" i="6"/>
  <c r="H7" i="9"/>
  <c r="BC7" i="9" s="1"/>
  <c r="H3" i="10"/>
  <c r="H5" i="10" s="1"/>
  <c r="K140" i="2"/>
  <c r="P7" i="8"/>
  <c r="DA7" i="8" s="1"/>
  <c r="L68" i="6"/>
  <c r="K13" i="9"/>
  <c r="K14" i="9" s="1"/>
  <c r="BF14" i="9" s="1"/>
  <c r="N27" i="6"/>
  <c r="N340" i="2"/>
  <c r="N15" i="6"/>
  <c r="P22" i="8"/>
  <c r="P27" i="8" s="1"/>
  <c r="DA27" i="8" s="1"/>
  <c r="L38" i="6"/>
  <c r="K55" i="6"/>
  <c r="H23" i="9"/>
  <c r="H28" i="9" s="1"/>
  <c r="BC28" i="9" s="1"/>
  <c r="K217" i="2"/>
  <c r="P211" i="5"/>
  <c r="J217" i="2"/>
  <c r="I134" i="2" a="1"/>
  <c r="I134" i="2" s="1"/>
  <c r="P113" i="5"/>
  <c r="K143" i="2"/>
  <c r="K95" i="6"/>
  <c r="M90" i="6"/>
  <c r="J15" i="9"/>
  <c r="J16" i="9" s="1"/>
  <c r="BE16" i="9" s="1"/>
  <c r="J23" i="10"/>
  <c r="J25" i="10" s="1"/>
  <c r="M29" i="6"/>
  <c r="M21" i="6"/>
  <c r="M91" i="6" s="1"/>
  <c r="M341" i="2"/>
  <c r="J335" i="2"/>
  <c r="T15" i="8"/>
  <c r="T16" i="8" s="1"/>
  <c r="DE16" i="8" s="1"/>
  <c r="N20" i="6"/>
  <c r="K23" i="10" s="1"/>
  <c r="K25" i="10" s="1"/>
  <c r="K98" i="6"/>
  <c r="M356" i="5"/>
  <c r="M300" i="5" s="1"/>
  <c r="M304" i="5" s="1"/>
  <c r="P134" i="5"/>
  <c r="L300" i="5"/>
  <c r="P353" i="5"/>
  <c r="P259" i="5" s="1"/>
  <c r="L155" i="6" s="1"/>
  <c r="P229" i="5"/>
  <c r="L52" i="6" s="1"/>
  <c r="F8" i="17" s="1"/>
  <c r="L50" i="6"/>
  <c r="P371" i="5"/>
  <c r="P372" i="5" s="1"/>
  <c r="P307" i="5" s="1"/>
  <c r="L213" i="6" s="1"/>
  <c r="L203" i="2" s="1"/>
  <c r="R112" i="5"/>
  <c r="M66" i="6"/>
  <c r="N18" i="6"/>
  <c r="N28" i="6"/>
  <c r="X12" i="8"/>
  <c r="P12" i="6"/>
  <c r="M17" i="10" s="1"/>
  <c r="M19" i="10" s="1"/>
  <c r="J182" i="6"/>
  <c r="J188" i="6"/>
  <c r="J263" i="2"/>
  <c r="L8" i="8"/>
  <c r="CW8" i="8" s="1"/>
  <c r="J75" i="6"/>
  <c r="N135" i="5"/>
  <c r="K71" i="6"/>
  <c r="K97" i="6" s="1"/>
  <c r="P366" i="5"/>
  <c r="P367" i="5" s="1"/>
  <c r="P291" i="5" s="1"/>
  <c r="L196" i="6" s="1"/>
  <c r="L184" i="2" s="1"/>
  <c r="R133" i="5"/>
  <c r="M62" i="6"/>
  <c r="I24" i="9"/>
  <c r="I29" i="9" s="1"/>
  <c r="BD29" i="9" s="1"/>
  <c r="L54" i="6"/>
  <c r="I99" i="6"/>
  <c r="K143" i="6"/>
  <c r="N164" i="5"/>
  <c r="N165" i="5"/>
  <c r="K183" i="2"/>
  <c r="V75" i="5"/>
  <c r="V108" i="5"/>
  <c r="O64" i="6" s="1"/>
  <c r="R218" i="5"/>
  <c r="R227" i="5"/>
  <c r="L252" i="5"/>
  <c r="J149" i="6" s="1"/>
  <c r="J244" i="2" s="1"/>
  <c r="L552" i="5"/>
  <c r="T106" i="5"/>
  <c r="T110" i="5"/>
  <c r="X189" i="5"/>
  <c r="X198" i="5" s="1"/>
  <c r="P33" i="6" s="1"/>
  <c r="X105" i="5"/>
  <c r="P61" i="6" s="1"/>
  <c r="Z64" i="5"/>
  <c r="X71" i="5"/>
  <c r="X194" i="5"/>
  <c r="X200" i="5" s="1"/>
  <c r="P35" i="6" s="1"/>
  <c r="X68" i="5"/>
  <c r="X201" i="5"/>
  <c r="P36" i="6" s="1"/>
  <c r="M252" i="5"/>
  <c r="M552" i="5"/>
  <c r="N329" i="5"/>
  <c r="K235" i="6" s="1"/>
  <c r="K223" i="2" s="1"/>
  <c r="M624" i="5"/>
  <c r="M626" i="5" s="1"/>
  <c r="N265" i="5"/>
  <c r="K161" i="6" s="1"/>
  <c r="N551" i="5"/>
  <c r="T208" i="5"/>
  <c r="T226" i="5"/>
  <c r="T186" i="5"/>
  <c r="T197" i="5" s="1"/>
  <c r="T76" i="5"/>
  <c r="T217" i="5"/>
  <c r="T23" i="8" s="1"/>
  <c r="AC339" i="2"/>
  <c r="Z203" i="2"/>
  <c r="AB340" i="2"/>
  <c r="W242" i="2"/>
  <c r="W383" i="2"/>
  <c r="X196" i="2"/>
  <c r="Y217" i="2"/>
  <c r="X262" i="2"/>
  <c r="X242" i="2"/>
  <c r="Z183" i="2"/>
  <c r="X335" i="2"/>
  <c r="Y256" i="2"/>
  <c r="Z184" i="2"/>
  <c r="Y140" i="2"/>
  <c r="X142" i="2"/>
  <c r="X244" i="2"/>
  <c r="X217" i="2"/>
  <c r="W134" i="2"/>
  <c r="Z141" i="2"/>
  <c r="Y183" i="2"/>
  <c r="Y141" i="2"/>
  <c r="Y223" i="2"/>
  <c r="AA341" i="2"/>
  <c r="Y143" i="2"/>
  <c r="W147" i="2"/>
  <c r="X333" i="2"/>
  <c r="J149" i="2" l="1"/>
  <c r="J147" i="2" s="1"/>
  <c r="D9" i="17"/>
  <c r="K73" i="6"/>
  <c r="N253" i="5"/>
  <c r="N548" i="5"/>
  <c r="R371" i="5"/>
  <c r="R372" i="5" s="1"/>
  <c r="R307" i="5" s="1"/>
  <c r="M213" i="6" s="1"/>
  <c r="M203" i="2" s="1"/>
  <c r="M217" i="2" s="1"/>
  <c r="R142" i="5"/>
  <c r="R167" i="5" s="1"/>
  <c r="L56" i="6"/>
  <c r="I31" i="9"/>
  <c r="K262" i="2"/>
  <c r="K263" i="2" s="1"/>
  <c r="L256" i="2"/>
  <c r="L309" i="6"/>
  <c r="J113" i="6"/>
  <c r="J246" i="2"/>
  <c r="R211" i="5"/>
  <c r="R210" i="5"/>
  <c r="R134" i="5"/>
  <c r="R353" i="5"/>
  <c r="R346" i="5" s="1"/>
  <c r="R347" i="5" s="1"/>
  <c r="M305" i="6" s="1"/>
  <c r="R366" i="5"/>
  <c r="R367" i="5" s="1"/>
  <c r="R291" i="5" s="1"/>
  <c r="M196" i="6" s="1"/>
  <c r="M184" i="2" s="1"/>
  <c r="R238" i="5"/>
  <c r="R116" i="5" s="1"/>
  <c r="M72" i="6" s="1"/>
  <c r="R361" i="5"/>
  <c r="R362" i="5" s="1"/>
  <c r="R290" i="5" s="1"/>
  <c r="M195" i="6" s="1"/>
  <c r="M183" i="2" s="1"/>
  <c r="N249" i="5"/>
  <c r="K146" i="6" s="1"/>
  <c r="K242" i="2" s="1"/>
  <c r="O377" i="5"/>
  <c r="O252" i="5" s="1"/>
  <c r="N441" i="5"/>
  <c r="N352" i="5"/>
  <c r="N340" i="5" s="1"/>
  <c r="N341" i="5" s="1"/>
  <c r="N120" i="5" s="1"/>
  <c r="N624" i="5" s="1"/>
  <c r="N626" i="5" s="1"/>
  <c r="T28" i="8"/>
  <c r="DE28" i="8" s="1"/>
  <c r="N4" i="5"/>
  <c r="O441" i="5"/>
  <c r="N136" i="5"/>
  <c r="J554" i="5"/>
  <c r="J9" i="8"/>
  <c r="CU9" i="8" s="1"/>
  <c r="I79" i="6"/>
  <c r="I105" i="6" s="1"/>
  <c r="L94" i="6"/>
  <c r="I7" i="9"/>
  <c r="BD7" i="9" s="1"/>
  <c r="L140" i="2"/>
  <c r="I3" i="10"/>
  <c r="I5" i="10" s="1"/>
  <c r="J101" i="6"/>
  <c r="G6" i="10"/>
  <c r="G8" i="10" s="1"/>
  <c r="G8" i="9"/>
  <c r="BB8" i="9" s="1"/>
  <c r="J276" i="6"/>
  <c r="L304" i="5"/>
  <c r="J209" i="6" s="1"/>
  <c r="J205" i="6"/>
  <c r="J193" i="2" s="1"/>
  <c r="P115" i="5"/>
  <c r="L69" i="6"/>
  <c r="L143" i="6"/>
  <c r="P164" i="5"/>
  <c r="P165" i="5"/>
  <c r="I246" i="2"/>
  <c r="I23" i="9"/>
  <c r="I28" i="9" s="1"/>
  <c r="BD28" i="9" s="1"/>
  <c r="L55" i="6"/>
  <c r="O15" i="6"/>
  <c r="O27" i="6"/>
  <c r="L13" i="9"/>
  <c r="L14" i="9" s="1"/>
  <c r="BG14" i="9" s="1"/>
  <c r="O340" i="2"/>
  <c r="K133" i="6"/>
  <c r="K171" i="2" s="1"/>
  <c r="K150" i="6"/>
  <c r="K245" i="2" s="1"/>
  <c r="I101" i="6"/>
  <c r="F6" i="10"/>
  <c r="F8" i="10" s="1"/>
  <c r="I276" i="6"/>
  <c r="F8" i="9"/>
  <c r="K188" i="6"/>
  <c r="K182" i="6"/>
  <c r="N90" i="6"/>
  <c r="K15" i="9"/>
  <c r="K16" i="9" s="1"/>
  <c r="BF16" i="9" s="1"/>
  <c r="N29" i="6"/>
  <c r="N21" i="6"/>
  <c r="N91" i="6" s="1"/>
  <c r="N341" i="2"/>
  <c r="N8" i="8"/>
  <c r="CY8" i="8" s="1"/>
  <c r="K75" i="6"/>
  <c r="R22" i="8"/>
  <c r="R27" i="8" s="1"/>
  <c r="DC27" i="8" s="1"/>
  <c r="M38" i="6"/>
  <c r="J24" i="9"/>
  <c r="J29" i="9" s="1"/>
  <c r="BE29" i="9" s="1"/>
  <c r="M54" i="6"/>
  <c r="V15" i="8"/>
  <c r="V16" i="8" s="1"/>
  <c r="DG16" i="8" s="1"/>
  <c r="O20" i="6"/>
  <c r="L23" i="10" s="1"/>
  <c r="L25" i="10" s="1"/>
  <c r="R115" i="5"/>
  <c r="M69" i="6"/>
  <c r="K196" i="2"/>
  <c r="P89" i="6"/>
  <c r="M12" i="9"/>
  <c r="P26" i="6"/>
  <c r="P339" i="2"/>
  <c r="Z12" i="8"/>
  <c r="Q12" i="6"/>
  <c r="N17" i="10" s="1"/>
  <c r="N19" i="10" s="1"/>
  <c r="L41" i="6"/>
  <c r="I22" i="9"/>
  <c r="I27" i="9" s="1"/>
  <c r="BD27" i="9" s="1"/>
  <c r="L40" i="6"/>
  <c r="O18" i="6"/>
  <c r="O28" i="6"/>
  <c r="J628" i="5"/>
  <c r="K625" i="5" s="1"/>
  <c r="K627" i="5" s="1"/>
  <c r="K629" i="5" s="1"/>
  <c r="K630" i="5" s="1"/>
  <c r="K550" i="5" s="1"/>
  <c r="K554" i="5" s="1"/>
  <c r="R178" i="5"/>
  <c r="M136" i="6"/>
  <c r="R229" i="5"/>
  <c r="M52" i="6" s="1"/>
  <c r="M50" i="6"/>
  <c r="T203" i="5"/>
  <c r="T113" i="5" s="1"/>
  <c r="N32" i="6"/>
  <c r="P117" i="5"/>
  <c r="P346" i="5"/>
  <c r="P347" i="5" s="1"/>
  <c r="L305" i="6" s="1"/>
  <c r="L306" i="6" s="1"/>
  <c r="N549" i="5"/>
  <c r="K132" i="6"/>
  <c r="T112" i="5"/>
  <c r="N66" i="6"/>
  <c r="N144" i="5"/>
  <c r="X109" i="5"/>
  <c r="P65" i="6" s="1"/>
  <c r="P17" i="6"/>
  <c r="P231" i="5"/>
  <c r="T234" i="5"/>
  <c r="T172" i="5" s="1"/>
  <c r="T24" i="8"/>
  <c r="T29" i="8" s="1"/>
  <c r="DE29" i="8" s="1"/>
  <c r="N49" i="6"/>
  <c r="P376" i="5"/>
  <c r="Q377" i="5" s="1"/>
  <c r="T133" i="5"/>
  <c r="N62" i="6"/>
  <c r="R7" i="8"/>
  <c r="DC7" i="8" s="1"/>
  <c r="M68" i="6"/>
  <c r="J122" i="2"/>
  <c r="J332" i="2"/>
  <c r="I113" i="6"/>
  <c r="I291" i="6" s="1"/>
  <c r="K142" i="2"/>
  <c r="X13" i="8"/>
  <c r="X14" i="8" s="1"/>
  <c r="DI14" i="8" s="1"/>
  <c r="P14" i="6"/>
  <c r="M20" i="10" s="1"/>
  <c r="M22" i="10" s="1"/>
  <c r="K99" i="6"/>
  <c r="L196" i="2"/>
  <c r="L217" i="2"/>
  <c r="J334" i="2"/>
  <c r="V110" i="5"/>
  <c r="V106" i="5"/>
  <c r="N552" i="5"/>
  <c r="N252" i="5"/>
  <c r="K149" i="6" s="1"/>
  <c r="K244" i="2" s="1"/>
  <c r="P551" i="5"/>
  <c r="P265" i="5"/>
  <c r="L161" i="6" s="1"/>
  <c r="X108" i="5"/>
  <c r="P64" i="6" s="1"/>
  <c r="X75" i="5"/>
  <c r="V208" i="5"/>
  <c r="V217" i="5"/>
  <c r="V23" i="8" s="1"/>
  <c r="V226" i="5"/>
  <c r="V186" i="5"/>
  <c r="V197" i="5" s="1"/>
  <c r="V76" i="5"/>
  <c r="O329" i="5"/>
  <c r="T227" i="5"/>
  <c r="T218" i="5"/>
  <c r="AB64" i="5"/>
  <c r="AB12" i="8" s="1"/>
  <c r="Z201" i="5"/>
  <c r="Q36" i="6" s="1"/>
  <c r="Z71" i="5"/>
  <c r="Z194" i="5"/>
  <c r="Z200" i="5" s="1"/>
  <c r="Q35" i="6" s="1"/>
  <c r="Z68" i="5"/>
  <c r="Z105" i="5"/>
  <c r="Q61" i="6" s="1"/>
  <c r="Z189" i="5"/>
  <c r="Z198" i="5" s="1"/>
  <c r="Q33" i="6" s="1"/>
  <c r="AA203" i="2"/>
  <c r="X334" i="2"/>
  <c r="AC340" i="2"/>
  <c r="Z217" i="2"/>
  <c r="X147" i="2"/>
  <c r="Z140" i="2"/>
  <c r="W149" i="2"/>
  <c r="Z256" i="2"/>
  <c r="Y242" i="2"/>
  <c r="Y196" i="2"/>
  <c r="AA184" i="2"/>
  <c r="X332" i="2"/>
  <c r="X122" i="2"/>
  <c r="AA217" i="2"/>
  <c r="AA141" i="2"/>
  <c r="AD339" i="2"/>
  <c r="Y244" i="2"/>
  <c r="Y245" i="2"/>
  <c r="Y171" i="2"/>
  <c r="AA183" i="2"/>
  <c r="X149" i="2"/>
  <c r="Y262" i="2"/>
  <c r="X246" i="2"/>
  <c r="Z196" i="2"/>
  <c r="X193" i="2"/>
  <c r="Y142" i="2"/>
  <c r="AB341" i="2"/>
  <c r="W246" i="2"/>
  <c r="K149" i="2" l="1"/>
  <c r="E9" i="17"/>
  <c r="K147" i="2"/>
  <c r="J331" i="2"/>
  <c r="L262" i="2"/>
  <c r="P253" i="5"/>
  <c r="T371" i="5"/>
  <c r="T372" i="5" s="1"/>
  <c r="T307" i="5" s="1"/>
  <c r="N213" i="6" s="1"/>
  <c r="N203" i="2" s="1"/>
  <c r="N217" i="2" s="1"/>
  <c r="T142" i="5"/>
  <c r="T167" i="5" s="1"/>
  <c r="BA8" i="9"/>
  <c r="S8" i="9"/>
  <c r="T8" i="9" s="1"/>
  <c r="M56" i="6"/>
  <c r="J31" i="9"/>
  <c r="R259" i="5"/>
  <c r="M155" i="6" s="1"/>
  <c r="M256" i="2" s="1"/>
  <c r="K76" i="6"/>
  <c r="K154" i="2" s="1"/>
  <c r="M98" i="6"/>
  <c r="O552" i="5"/>
  <c r="R376" i="5"/>
  <c r="S377" i="5" s="1"/>
  <c r="N356" i="5"/>
  <c r="O352" i="5" s="1"/>
  <c r="O340" i="5" s="1"/>
  <c r="O341" i="5" s="1"/>
  <c r="O120" i="5" s="1"/>
  <c r="O624" i="5" s="1"/>
  <c r="O626" i="5" s="1"/>
  <c r="M306" i="6"/>
  <c r="T366" i="5"/>
  <c r="T367" i="5" s="1"/>
  <c r="T291" i="5" s="1"/>
  <c r="N196" i="6" s="1"/>
  <c r="N184" i="2" s="1"/>
  <c r="T134" i="5"/>
  <c r="T238" i="5"/>
  <c r="T116" i="5" s="1"/>
  <c r="N72" i="6" s="1"/>
  <c r="N98" i="6" s="1"/>
  <c r="V28" i="8"/>
  <c r="DG28" i="8" s="1"/>
  <c r="T361" i="5"/>
  <c r="T362" i="5" s="1"/>
  <c r="T290" i="5" s="1"/>
  <c r="N195" i="6" s="1"/>
  <c r="N183" i="2" s="1"/>
  <c r="T353" i="5"/>
  <c r="T259" i="5" s="1"/>
  <c r="N155" i="6" s="1"/>
  <c r="J556" i="5"/>
  <c r="J555" i="5"/>
  <c r="P119" i="5"/>
  <c r="L73" i="6"/>
  <c r="T22" i="8"/>
  <c r="T27" i="8" s="1"/>
  <c r="DE27" i="8" s="1"/>
  <c r="N38" i="6"/>
  <c r="L142" i="2"/>
  <c r="N54" i="6"/>
  <c r="K24" i="9"/>
  <c r="K29" i="9" s="1"/>
  <c r="BF29" i="9" s="1"/>
  <c r="M13" i="9"/>
  <c r="M14" i="9" s="1"/>
  <c r="BH14" i="9" s="1"/>
  <c r="P15" i="6"/>
  <c r="P27" i="6"/>
  <c r="P340" i="2"/>
  <c r="J23" i="9"/>
  <c r="J28" i="9" s="1"/>
  <c r="BE28" i="9" s="1"/>
  <c r="M55" i="6"/>
  <c r="T211" i="5"/>
  <c r="M143" i="2"/>
  <c r="M95" i="6"/>
  <c r="I331" i="2"/>
  <c r="Q89" i="6"/>
  <c r="N12" i="9"/>
  <c r="Q26" i="6"/>
  <c r="Q339" i="2"/>
  <c r="V112" i="5"/>
  <c r="O66" i="6"/>
  <c r="N168" i="5"/>
  <c r="K113" i="6"/>
  <c r="R135" i="5"/>
  <c r="M71" i="6"/>
  <c r="M97" i="6" s="1"/>
  <c r="L150" i="6"/>
  <c r="L245" i="2" s="1"/>
  <c r="L133" i="6"/>
  <c r="L171" i="2" s="1"/>
  <c r="I80" i="6"/>
  <c r="T178" i="5"/>
  <c r="N136" i="6"/>
  <c r="I123" i="2"/>
  <c r="I314" i="2"/>
  <c r="I156" i="2"/>
  <c r="P28" i="6"/>
  <c r="P18" i="6"/>
  <c r="K334" i="2"/>
  <c r="Z109" i="5"/>
  <c r="Q65" i="6" s="1"/>
  <c r="Q17" i="6"/>
  <c r="V133" i="5"/>
  <c r="O62" i="6"/>
  <c r="R231" i="5"/>
  <c r="M143" i="6"/>
  <c r="R164" i="5"/>
  <c r="R165" i="5"/>
  <c r="O90" i="6"/>
  <c r="L15" i="9"/>
  <c r="L16" i="9" s="1"/>
  <c r="BG16" i="9" s="1"/>
  <c r="O341" i="2"/>
  <c r="O21" i="6"/>
  <c r="O91" i="6" s="1"/>
  <c r="O29" i="6"/>
  <c r="P549" i="5"/>
  <c r="L132" i="6"/>
  <c r="K379" i="2"/>
  <c r="K174" i="2"/>
  <c r="T115" i="5"/>
  <c r="N69" i="6"/>
  <c r="T210" i="5"/>
  <c r="K122" i="2"/>
  <c r="K332" i="2"/>
  <c r="T229" i="5"/>
  <c r="N52" i="6" s="1"/>
  <c r="N50" i="6"/>
  <c r="R117" i="5"/>
  <c r="J314" i="2"/>
  <c r="J123" i="2"/>
  <c r="J156" i="2"/>
  <c r="T7" i="8"/>
  <c r="DE7" i="8" s="1"/>
  <c r="N68" i="6"/>
  <c r="K3" i="10" s="1"/>
  <c r="K5" i="10" s="1"/>
  <c r="L182" i="6"/>
  <c r="L188" i="6"/>
  <c r="L263" i="2"/>
  <c r="L143" i="2"/>
  <c r="L95" i="6"/>
  <c r="V203" i="5"/>
  <c r="V210" i="5" s="1"/>
  <c r="O32" i="6"/>
  <c r="M196" i="2"/>
  <c r="V234" i="5"/>
  <c r="V172" i="5" s="1"/>
  <c r="V24" i="8"/>
  <c r="V29" i="8" s="1"/>
  <c r="DG29" i="8" s="1"/>
  <c r="O49" i="6"/>
  <c r="J134" i="2" a="1"/>
  <c r="J134" i="2" s="1"/>
  <c r="P377" i="5"/>
  <c r="P552" i="5" s="1"/>
  <c r="M94" i="6"/>
  <c r="J7" i="9"/>
  <c r="BE7" i="9" s="1"/>
  <c r="J3" i="10"/>
  <c r="J5" i="10" s="1"/>
  <c r="M140" i="2"/>
  <c r="K246" i="2"/>
  <c r="P135" i="5"/>
  <c r="L71" i="6"/>
  <c r="L97" i="6" s="1"/>
  <c r="Z13" i="8"/>
  <c r="Z14" i="8" s="1"/>
  <c r="DK14" i="8" s="1"/>
  <c r="Q14" i="6"/>
  <c r="N20" i="10" s="1"/>
  <c r="N22" i="10" s="1"/>
  <c r="X15" i="8"/>
  <c r="X16" i="8" s="1"/>
  <c r="DI16" i="8" s="1"/>
  <c r="P20" i="6"/>
  <c r="M23" i="10" s="1"/>
  <c r="M25" i="10" s="1"/>
  <c r="J22" i="9"/>
  <c r="J27" i="9" s="1"/>
  <c r="BE27" i="9" s="1"/>
  <c r="M40" i="6"/>
  <c r="M41" i="6"/>
  <c r="J195" i="2"/>
  <c r="K101" i="6"/>
  <c r="H6" i="10"/>
  <c r="H8" i="10" s="1"/>
  <c r="H8" i="9"/>
  <c r="BC8" i="9" s="1"/>
  <c r="D587" i="5"/>
  <c r="D589" i="5" s="1"/>
  <c r="K276" i="6"/>
  <c r="K383" i="2"/>
  <c r="J243" i="6"/>
  <c r="K628" i="5"/>
  <c r="L625" i="5" s="1"/>
  <c r="L627" i="5" s="1"/>
  <c r="L629" i="5" s="1"/>
  <c r="L630" i="5" s="1"/>
  <c r="L550" i="5" s="1"/>
  <c r="L554" i="5" s="1"/>
  <c r="AB71" i="5"/>
  <c r="AB109" i="5" s="1"/>
  <c r="AB68" i="5"/>
  <c r="AB13" i="8" s="1"/>
  <c r="AB14" i="8" s="1"/>
  <c r="DM14" i="8" s="1"/>
  <c r="AB201" i="5"/>
  <c r="AB194" i="5"/>
  <c r="AB200" i="5" s="1"/>
  <c r="AB189" i="5"/>
  <c r="AB198" i="5" s="1"/>
  <c r="AB105" i="5"/>
  <c r="AD64" i="5"/>
  <c r="K555" i="5"/>
  <c r="K556" i="5"/>
  <c r="X106" i="5"/>
  <c r="X110" i="5"/>
  <c r="V218" i="5"/>
  <c r="V227" i="5"/>
  <c r="Z108" i="5"/>
  <c r="Q64" i="6" s="1"/>
  <c r="Z75" i="5"/>
  <c r="P329" i="5"/>
  <c r="L235" i="6" s="1"/>
  <c r="L223" i="2" s="1"/>
  <c r="X208" i="5"/>
  <c r="X76" i="5"/>
  <c r="X217" i="5"/>
  <c r="X23" i="8" s="1"/>
  <c r="X226" i="5"/>
  <c r="X186" i="5"/>
  <c r="X197" i="5" s="1"/>
  <c r="Q552" i="5"/>
  <c r="Q252" i="5"/>
  <c r="AA140" i="2"/>
  <c r="AA196" i="2"/>
  <c r="Y149" i="2"/>
  <c r="Z142" i="2"/>
  <c r="Z262" i="2"/>
  <c r="Y246" i="2"/>
  <c r="Y122" i="2"/>
  <c r="Z143" i="2"/>
  <c r="AA143" i="2"/>
  <c r="Y383" i="2"/>
  <c r="X123" i="2"/>
  <c r="AB183" i="2"/>
  <c r="W123" i="2"/>
  <c r="W331" i="2"/>
  <c r="Y379" i="2"/>
  <c r="AB203" i="2"/>
  <c r="Y334" i="2"/>
  <c r="AC341" i="2"/>
  <c r="X314" i="2"/>
  <c r="AA256" i="2"/>
  <c r="W314" i="2"/>
  <c r="Z245" i="2"/>
  <c r="AE339" i="2"/>
  <c r="X195" i="2"/>
  <c r="W156" i="2"/>
  <c r="AD340" i="2"/>
  <c r="Y332" i="2"/>
  <c r="Y174" i="2"/>
  <c r="Y147" i="2"/>
  <c r="X134" i="2"/>
  <c r="AB217" i="2"/>
  <c r="X331" i="2"/>
  <c r="AB184" i="2"/>
  <c r="X156" i="2"/>
  <c r="Z223" i="2"/>
  <c r="Z171" i="2"/>
  <c r="Y154" i="2"/>
  <c r="K102" i="6" l="1"/>
  <c r="M262" i="2"/>
  <c r="R253" i="5"/>
  <c r="M150" i="6" s="1"/>
  <c r="M245" i="2" s="1"/>
  <c r="V238" i="5"/>
  <c r="V116" i="5" s="1"/>
  <c r="O72" i="6" s="1"/>
  <c r="V142" i="5"/>
  <c r="V167" i="5" s="1"/>
  <c r="R265" i="5"/>
  <c r="M161" i="6" s="1"/>
  <c r="M182" i="6" s="1"/>
  <c r="R551" i="5"/>
  <c r="N56" i="6"/>
  <c r="K31" i="9"/>
  <c r="N300" i="5"/>
  <c r="N304" i="5" s="1"/>
  <c r="K209" i="6" s="1"/>
  <c r="M309" i="6"/>
  <c r="R377" i="5"/>
  <c r="R252" i="5" s="1"/>
  <c r="M149" i="6" s="1"/>
  <c r="M244" i="2" s="1"/>
  <c r="L334" i="2"/>
  <c r="O356" i="5"/>
  <c r="O300" i="5" s="1"/>
  <c r="O304" i="5" s="1"/>
  <c r="N256" i="2"/>
  <c r="N309" i="6"/>
  <c r="T231" i="5"/>
  <c r="T117" i="5"/>
  <c r="N73" i="6" s="1"/>
  <c r="T376" i="5"/>
  <c r="T377" i="5" s="1"/>
  <c r="T346" i="5"/>
  <c r="T347" i="5" s="1"/>
  <c r="N305" i="6" s="1"/>
  <c r="N306" i="6" s="1"/>
  <c r="V211" i="5"/>
  <c r="V113" i="5"/>
  <c r="V115" i="5" s="1"/>
  <c r="V371" i="5"/>
  <c r="V372" i="5" s="1"/>
  <c r="V307" i="5" s="1"/>
  <c r="O213" i="6" s="1"/>
  <c r="O203" i="2" s="1"/>
  <c r="V361" i="5"/>
  <c r="V362" i="5" s="1"/>
  <c r="V290" i="5" s="1"/>
  <c r="O195" i="6" s="1"/>
  <c r="O183" i="2" s="1"/>
  <c r="V353" i="5"/>
  <c r="V346" i="5" s="1"/>
  <c r="V347" i="5" s="1"/>
  <c r="O305" i="6" s="1"/>
  <c r="L383" i="2"/>
  <c r="T135" i="5"/>
  <c r="N71" i="6"/>
  <c r="N97" i="6" s="1"/>
  <c r="N95" i="6"/>
  <c r="N143" i="2"/>
  <c r="V229" i="5"/>
  <c r="O52" i="6" s="1"/>
  <c r="O50" i="6"/>
  <c r="V7" i="8"/>
  <c r="DG7" i="8" s="1"/>
  <c r="O68" i="6"/>
  <c r="L3" i="10" s="1"/>
  <c r="L5" i="10" s="1"/>
  <c r="N13" i="9"/>
  <c r="N14" i="9" s="1"/>
  <c r="BI14" i="9" s="1"/>
  <c r="Q27" i="6"/>
  <c r="Q15" i="6"/>
  <c r="Q340" i="2"/>
  <c r="V178" i="5"/>
  <c r="O136" i="6"/>
  <c r="I377" i="2"/>
  <c r="I328" i="2"/>
  <c r="I315" i="2"/>
  <c r="I162" i="2"/>
  <c r="P252" i="5"/>
  <c r="L149" i="6" s="1"/>
  <c r="L244" i="2" s="1"/>
  <c r="R119" i="5"/>
  <c r="M73" i="6"/>
  <c r="I135" i="2" a="1"/>
  <c r="I135" i="2" s="1"/>
  <c r="Q28" i="6"/>
  <c r="Q18" i="6"/>
  <c r="N196" i="2"/>
  <c r="K335" i="2"/>
  <c r="K333" i="2"/>
  <c r="K23" i="9"/>
  <c r="K28" i="9" s="1"/>
  <c r="BF28" i="9" s="1"/>
  <c r="N55" i="6"/>
  <c r="N94" i="6"/>
  <c r="K7" i="9"/>
  <c r="BF7" i="9" s="1"/>
  <c r="N140" i="2"/>
  <c r="L24" i="9"/>
  <c r="L29" i="9" s="1"/>
  <c r="BG29" i="9" s="1"/>
  <c r="O54" i="6"/>
  <c r="J135" i="2" a="1"/>
  <c r="J135" i="2" s="1"/>
  <c r="V22" i="8"/>
  <c r="V27" i="8" s="1"/>
  <c r="DG27" i="8" s="1"/>
  <c r="O38" i="6"/>
  <c r="M133" i="6"/>
  <c r="M171" i="2" s="1"/>
  <c r="N143" i="6"/>
  <c r="T165" i="5"/>
  <c r="T164" i="5"/>
  <c r="L122" i="2"/>
  <c r="L332" i="2"/>
  <c r="M142" i="2"/>
  <c r="X203" i="5"/>
  <c r="P32" i="6"/>
  <c r="R549" i="5"/>
  <c r="M132" i="6"/>
  <c r="I82" i="6"/>
  <c r="F9" i="9" s="1"/>
  <c r="I83" i="6"/>
  <c r="I109" i="6" s="1"/>
  <c r="K22" i="9"/>
  <c r="K27" i="9" s="1"/>
  <c r="BF27" i="9" s="1"/>
  <c r="N41" i="6"/>
  <c r="N40" i="6"/>
  <c r="X234" i="5"/>
  <c r="X172" i="5" s="1"/>
  <c r="X24" i="8"/>
  <c r="X29" i="8" s="1"/>
  <c r="DI29" i="8" s="1"/>
  <c r="P49" i="6"/>
  <c r="K134" i="2" a="1"/>
  <c r="K134" i="2" s="1"/>
  <c r="I152" i="6"/>
  <c r="I308" i="6" s="1"/>
  <c r="I310" i="6" s="1"/>
  <c r="I311" i="6" s="1"/>
  <c r="I148" i="6"/>
  <c r="I248" i="2" s="1"/>
  <c r="M188" i="6"/>
  <c r="M263" i="2"/>
  <c r="P90" i="6"/>
  <c r="M15" i="9"/>
  <c r="M16" i="9" s="1"/>
  <c r="BH16" i="9" s="1"/>
  <c r="P29" i="6"/>
  <c r="P341" i="2"/>
  <c r="P21" i="6"/>
  <c r="P91" i="6" s="1"/>
  <c r="J377" i="2"/>
  <c r="J315" i="2"/>
  <c r="X28" i="8"/>
  <c r="DI28" i="8" s="1"/>
  <c r="X112" i="5"/>
  <c r="X142" i="5" s="1"/>
  <c r="X167" i="5" s="1"/>
  <c r="P66" i="6"/>
  <c r="V366" i="5"/>
  <c r="V367" i="5" s="1"/>
  <c r="V291" i="5" s="1"/>
  <c r="O196" i="6" s="1"/>
  <c r="O184" i="2" s="1"/>
  <c r="K314" i="2"/>
  <c r="K123" i="2"/>
  <c r="K156" i="2"/>
  <c r="I163" i="2"/>
  <c r="I106" i="6"/>
  <c r="L99" i="6"/>
  <c r="O98" i="6"/>
  <c r="X133" i="5"/>
  <c r="P62" i="6"/>
  <c r="Z15" i="8"/>
  <c r="Z16" i="8" s="1"/>
  <c r="DK16" i="8" s="1"/>
  <c r="Q20" i="6"/>
  <c r="N23" i="10" s="1"/>
  <c r="N25" i="10" s="1"/>
  <c r="V134" i="5"/>
  <c r="K331" i="2"/>
  <c r="L174" i="2"/>
  <c r="L379" i="2"/>
  <c r="P8" i="8"/>
  <c r="DA8" i="8" s="1"/>
  <c r="L75" i="6"/>
  <c r="Q441" i="5"/>
  <c r="P136" i="5"/>
  <c r="P548" i="5"/>
  <c r="P144" i="5"/>
  <c r="P441" i="5"/>
  <c r="P4" i="5"/>
  <c r="P249" i="5"/>
  <c r="L146" i="6" s="1"/>
  <c r="L242" i="2" s="1"/>
  <c r="L628" i="5"/>
  <c r="M625" i="5" s="1"/>
  <c r="M627" i="5" s="1"/>
  <c r="M629" i="5" s="1"/>
  <c r="M630" i="5" s="1"/>
  <c r="M550" i="5" s="1"/>
  <c r="M554" i="5" s="1"/>
  <c r="Z110" i="5"/>
  <c r="Z106" i="5"/>
  <c r="AB108" i="5"/>
  <c r="AB75" i="5"/>
  <c r="AB15" i="8" s="1"/>
  <c r="AB16" i="8" s="1"/>
  <c r="DM16" i="8" s="1"/>
  <c r="AD68" i="5"/>
  <c r="AD194" i="5"/>
  <c r="AD200" i="5" s="1"/>
  <c r="AD201" i="5"/>
  <c r="AD189" i="5"/>
  <c r="AD198" i="5" s="1"/>
  <c r="AD105" i="5"/>
  <c r="AF64" i="5"/>
  <c r="AD71" i="5"/>
  <c r="AD109" i="5" s="1"/>
  <c r="Q329" i="5"/>
  <c r="R329" i="5" s="1"/>
  <c r="Z208" i="5"/>
  <c r="Z226" i="5"/>
  <c r="Z76" i="5"/>
  <c r="Z217" i="5"/>
  <c r="Z23" i="8" s="1"/>
  <c r="Z186" i="5"/>
  <c r="Z197" i="5" s="1"/>
  <c r="L555" i="5"/>
  <c r="S552" i="5"/>
  <c r="S252" i="5"/>
  <c r="L556" i="5"/>
  <c r="T551" i="5"/>
  <c r="T265" i="5"/>
  <c r="N161" i="6" s="1"/>
  <c r="X218" i="5"/>
  <c r="X227" i="5"/>
  <c r="Y333" i="2"/>
  <c r="AB141" i="2"/>
  <c r="Z122" i="2"/>
  <c r="W315" i="2"/>
  <c r="X377" i="2"/>
  <c r="AB256" i="2"/>
  <c r="Z383" i="2"/>
  <c r="Y314" i="2"/>
  <c r="W328" i="2"/>
  <c r="AB140" i="2"/>
  <c r="AD341" i="2"/>
  <c r="AA245" i="2"/>
  <c r="W248" i="2"/>
  <c r="AA142" i="2"/>
  <c r="Z242" i="2"/>
  <c r="AC184" i="2"/>
  <c r="Z379" i="2"/>
  <c r="AC183" i="2"/>
  <c r="AA262" i="2"/>
  <c r="Y123" i="2"/>
  <c r="Z244" i="2"/>
  <c r="X315" i="2"/>
  <c r="Z334" i="2"/>
  <c r="W162" i="2"/>
  <c r="W377" i="2"/>
  <c r="AA171" i="2"/>
  <c r="AA244" i="2"/>
  <c r="AE340" i="2"/>
  <c r="Z332" i="2"/>
  <c r="Y331" i="2"/>
  <c r="Z174" i="2"/>
  <c r="W135" i="2"/>
  <c r="AC141" i="2"/>
  <c r="AB143" i="2"/>
  <c r="Y335" i="2"/>
  <c r="Y156" i="2"/>
  <c r="AC203" i="2"/>
  <c r="W163" i="2"/>
  <c r="AB196" i="2"/>
  <c r="Y134" i="2"/>
  <c r="X135" i="2"/>
  <c r="L149" i="2" l="1"/>
  <c r="L147" i="2" s="1"/>
  <c r="F9" i="17"/>
  <c r="K205" i="6"/>
  <c r="K193" i="2" s="1"/>
  <c r="T253" i="5"/>
  <c r="R552" i="5"/>
  <c r="P352" i="5"/>
  <c r="P340" i="5" s="1"/>
  <c r="P341" i="5" s="1"/>
  <c r="P120" i="5" s="1"/>
  <c r="L76" i="6" s="1"/>
  <c r="L102" i="6" s="1"/>
  <c r="O56" i="6"/>
  <c r="L31" i="9"/>
  <c r="T119" i="5"/>
  <c r="S9" i="9"/>
  <c r="T9" i="9" s="1"/>
  <c r="BA9" i="9"/>
  <c r="U377" i="5"/>
  <c r="U552" i="5" s="1"/>
  <c r="P356" i="5"/>
  <c r="P300" i="5" s="1"/>
  <c r="P304" i="5" s="1"/>
  <c r="L209" i="6" s="1"/>
  <c r="P624" i="5"/>
  <c r="P626" i="5" s="1"/>
  <c r="O217" i="2"/>
  <c r="M334" i="2"/>
  <c r="N262" i="2"/>
  <c r="O69" i="6"/>
  <c r="O143" i="2" s="1"/>
  <c r="V231" i="5"/>
  <c r="V259" i="5"/>
  <c r="O155" i="6" s="1"/>
  <c r="V376" i="5"/>
  <c r="V377" i="5" s="1"/>
  <c r="V117" i="5"/>
  <c r="V119" i="5" s="1"/>
  <c r="O306" i="6"/>
  <c r="N142" i="2"/>
  <c r="I165" i="2"/>
  <c r="O94" i="6"/>
  <c r="O140" i="2"/>
  <c r="L7" i="9"/>
  <c r="BG7" i="9" s="1"/>
  <c r="M24" i="9"/>
  <c r="M29" i="9" s="1"/>
  <c r="BH29" i="9" s="1"/>
  <c r="P54" i="6"/>
  <c r="X22" i="8"/>
  <c r="X27" i="8" s="1"/>
  <c r="DI27" i="8" s="1"/>
  <c r="P38" i="6"/>
  <c r="I108" i="6"/>
  <c r="I277" i="6"/>
  <c r="F9" i="10"/>
  <c r="F11" i="10" s="1"/>
  <c r="M122" i="2"/>
  <c r="M332" i="2"/>
  <c r="S329" i="5"/>
  <c r="T329" i="5" s="1"/>
  <c r="M235" i="6"/>
  <c r="M223" i="2" s="1"/>
  <c r="L23" i="9"/>
  <c r="L28" i="9" s="1"/>
  <c r="BG28" i="9" s="1"/>
  <c r="O55" i="6"/>
  <c r="V135" i="5"/>
  <c r="O71" i="6"/>
  <c r="O97" i="6" s="1"/>
  <c r="X229" i="5"/>
  <c r="P52" i="6" s="1"/>
  <c r="P50" i="6"/>
  <c r="I181" i="6"/>
  <c r="I187" i="6"/>
  <c r="N99" i="6"/>
  <c r="L134" i="2" a="1"/>
  <c r="L134" i="2" s="1"/>
  <c r="X211" i="5"/>
  <c r="I306" i="2"/>
  <c r="Z234" i="5"/>
  <c r="Z172" i="5" s="1"/>
  <c r="Z24" i="8"/>
  <c r="Z29" i="8" s="1"/>
  <c r="DK29" i="8" s="1"/>
  <c r="Q49" i="6"/>
  <c r="Z133" i="5"/>
  <c r="Q62" i="6"/>
  <c r="L101" i="6"/>
  <c r="I6" i="10"/>
  <c r="I8" i="10" s="1"/>
  <c r="L276" i="6"/>
  <c r="I8" i="9"/>
  <c r="BD8" i="9" s="1"/>
  <c r="T549" i="5"/>
  <c r="N132" i="6"/>
  <c r="Z112" i="5"/>
  <c r="Q66" i="6"/>
  <c r="K377" i="2"/>
  <c r="K315" i="2"/>
  <c r="N150" i="6"/>
  <c r="N245" i="2" s="1"/>
  <c r="N133" i="6"/>
  <c r="N171" i="2" s="1"/>
  <c r="Z203" i="5"/>
  <c r="Q32" i="6"/>
  <c r="X7" i="8"/>
  <c r="DI7" i="8" s="1"/>
  <c r="P68" i="6"/>
  <c r="M3" i="10" s="1"/>
  <c r="M5" i="10" s="1"/>
  <c r="L246" i="2"/>
  <c r="N182" i="6"/>
  <c r="N188" i="6"/>
  <c r="X210" i="5"/>
  <c r="X113" i="5"/>
  <c r="X238" i="5"/>
  <c r="X116" i="5" s="1"/>
  <c r="P72" i="6" s="1"/>
  <c r="K135" i="2" a="1"/>
  <c r="K135" i="2" s="1"/>
  <c r="I249" i="2"/>
  <c r="X178" i="5"/>
  <c r="P136" i="6"/>
  <c r="M383" i="2"/>
  <c r="M174" i="2"/>
  <c r="M379" i="2"/>
  <c r="O143" i="6"/>
  <c r="V165" i="5"/>
  <c r="V164" i="5"/>
  <c r="Z28" i="8"/>
  <c r="DK28" i="8" s="1"/>
  <c r="P168" i="5"/>
  <c r="L113" i="6"/>
  <c r="O196" i="2"/>
  <c r="X366" i="5"/>
  <c r="X367" i="5" s="1"/>
  <c r="X291" i="5" s="1"/>
  <c r="P196" i="6" s="1"/>
  <c r="P184" i="2" s="1"/>
  <c r="X134" i="5"/>
  <c r="X371" i="5"/>
  <c r="X372" i="5" s="1"/>
  <c r="X307" i="5" s="1"/>
  <c r="P213" i="6" s="1"/>
  <c r="P203" i="2" s="1"/>
  <c r="O41" i="6"/>
  <c r="L22" i="9"/>
  <c r="L27" i="9" s="1"/>
  <c r="BG27" i="9" s="1"/>
  <c r="O40" i="6"/>
  <c r="R8" i="8"/>
  <c r="DC8" i="8" s="1"/>
  <c r="M75" i="6"/>
  <c r="M149" i="2" s="1"/>
  <c r="M147" i="2" s="1"/>
  <c r="R441" i="5"/>
  <c r="R548" i="5"/>
  <c r="R249" i="5"/>
  <c r="M146" i="6" s="1"/>
  <c r="M242" i="2" s="1"/>
  <c r="R4" i="5"/>
  <c r="R136" i="5"/>
  <c r="S441" i="5"/>
  <c r="R144" i="5"/>
  <c r="X353" i="5"/>
  <c r="X346" i="5" s="1"/>
  <c r="X347" i="5" s="1"/>
  <c r="P305" i="6" s="1"/>
  <c r="X361" i="5"/>
  <c r="X362" i="5" s="1"/>
  <c r="X290" i="5" s="1"/>
  <c r="P195" i="6" s="1"/>
  <c r="P183" i="2" s="1"/>
  <c r="Q90" i="6"/>
  <c r="N15" i="9"/>
  <c r="N16" i="9" s="1"/>
  <c r="BI16" i="9" s="1"/>
  <c r="Q21" i="6"/>
  <c r="Q91" i="6" s="1"/>
  <c r="Q341" i="2"/>
  <c r="Q29" i="6"/>
  <c r="I115" i="6"/>
  <c r="I126" i="6"/>
  <c r="I297" i="2" s="1"/>
  <c r="M99" i="6"/>
  <c r="AF71" i="5"/>
  <c r="AF109" i="5" s="1"/>
  <c r="AF201" i="5"/>
  <c r="AF105" i="5"/>
  <c r="AF194" i="5"/>
  <c r="AF200" i="5" s="1"/>
  <c r="AF68" i="5"/>
  <c r="AF189" i="5"/>
  <c r="AF198" i="5" s="1"/>
  <c r="AH64" i="5"/>
  <c r="M555" i="5"/>
  <c r="AB208" i="5"/>
  <c r="AB226" i="5"/>
  <c r="AB186" i="5"/>
  <c r="AB197" i="5" s="1"/>
  <c r="AB203" i="5" s="1"/>
  <c r="AB22" i="8" s="1"/>
  <c r="AB27" i="8" s="1"/>
  <c r="DM27" i="8" s="1"/>
  <c r="AB217" i="5"/>
  <c r="AB23" i="8" s="1"/>
  <c r="AB28" i="8" s="1"/>
  <c r="DM28" i="8" s="1"/>
  <c r="AB76" i="5"/>
  <c r="AD75" i="5"/>
  <c r="AD108" i="5"/>
  <c r="M556" i="5"/>
  <c r="T552" i="5"/>
  <c r="T252" i="5"/>
  <c r="N149" i="6" s="1"/>
  <c r="N244" i="2" s="1"/>
  <c r="M628" i="5"/>
  <c r="N625" i="5" s="1"/>
  <c r="Z227" i="5"/>
  <c r="Z218" i="5"/>
  <c r="AB110" i="5"/>
  <c r="AB112" i="5" s="1"/>
  <c r="AB106" i="5"/>
  <c r="AB133" i="5" s="1"/>
  <c r="Z147" i="2"/>
  <c r="AC143" i="2"/>
  <c r="AB142" i="2"/>
  <c r="AA242" i="2"/>
  <c r="AA383" i="2"/>
  <c r="AC196" i="2"/>
  <c r="AB245" i="2"/>
  <c r="AB171" i="2"/>
  <c r="Y377" i="2"/>
  <c r="AA379" i="2"/>
  <c r="Y315" i="2"/>
  <c r="W165" i="2"/>
  <c r="AD183" i="2"/>
  <c r="W306" i="2"/>
  <c r="AD203" i="2"/>
  <c r="AD184" i="2"/>
  <c r="Y135" i="2"/>
  <c r="AA147" i="2"/>
  <c r="AA334" i="2"/>
  <c r="AC140" i="2"/>
  <c r="AC217" i="2"/>
  <c r="AA122" i="2"/>
  <c r="Z246" i="2"/>
  <c r="W297" i="2"/>
  <c r="AB262" i="2"/>
  <c r="Z149" i="2"/>
  <c r="Z134" i="2"/>
  <c r="Y193" i="2"/>
  <c r="AB244" i="2"/>
  <c r="AA332" i="2"/>
  <c r="AA174" i="2"/>
  <c r="AA223" i="2"/>
  <c r="W249" i="2"/>
  <c r="AE341" i="2"/>
  <c r="U252" i="5" l="1"/>
  <c r="K243" i="6"/>
  <c r="L123" i="2"/>
  <c r="N263" i="2"/>
  <c r="K195" i="2"/>
  <c r="V253" i="5"/>
  <c r="L154" i="2"/>
  <c r="L333" i="2" s="1"/>
  <c r="T249" i="5"/>
  <c r="N146" i="6" s="1"/>
  <c r="N242" i="2" s="1"/>
  <c r="N246" i="2" s="1"/>
  <c r="AB7" i="8"/>
  <c r="DM7" i="8" s="1"/>
  <c r="AB142" i="5"/>
  <c r="AB167" i="5" s="1"/>
  <c r="Z134" i="5"/>
  <c r="Z142" i="5"/>
  <c r="Z167" i="5" s="1"/>
  <c r="N75" i="6"/>
  <c r="T8" i="8"/>
  <c r="DE8" i="8" s="1"/>
  <c r="L205" i="6"/>
  <c r="L193" i="2" s="1"/>
  <c r="T136" i="5"/>
  <c r="U441" i="5"/>
  <c r="T441" i="5"/>
  <c r="P56" i="6"/>
  <c r="M31" i="9"/>
  <c r="T548" i="5"/>
  <c r="Q352" i="5"/>
  <c r="Q340" i="5" s="1"/>
  <c r="Q341" i="5" s="1"/>
  <c r="Q120" i="5" s="1"/>
  <c r="Q624" i="5" s="1"/>
  <c r="Q626" i="5" s="1"/>
  <c r="T144" i="5"/>
  <c r="N113" i="6" s="1"/>
  <c r="V265" i="5"/>
  <c r="O161" i="6" s="1"/>
  <c r="O188" i="6" s="1"/>
  <c r="V551" i="5"/>
  <c r="W377" i="5"/>
  <c r="W252" i="5" s="1"/>
  <c r="O95" i="6"/>
  <c r="L314" i="2"/>
  <c r="N334" i="2"/>
  <c r="I250" i="2"/>
  <c r="L156" i="2"/>
  <c r="O73" i="6"/>
  <c r="O99" i="6" s="1"/>
  <c r="O256" i="2"/>
  <c r="O309" i="6"/>
  <c r="V548" i="5"/>
  <c r="V249" i="5"/>
  <c r="O146" i="6" s="1"/>
  <c r="O242" i="2" s="1"/>
  <c r="V136" i="5"/>
  <c r="W441" i="5"/>
  <c r="V441" i="5"/>
  <c r="V144" i="5"/>
  <c r="V168" i="5" s="1"/>
  <c r="Z371" i="5"/>
  <c r="Z372" i="5" s="1"/>
  <c r="Z307" i="5" s="1"/>
  <c r="Q213" i="6" s="1"/>
  <c r="Q203" i="2" s="1"/>
  <c r="Z361" i="5"/>
  <c r="Z362" i="5" s="1"/>
  <c r="Z290" i="5" s="1"/>
  <c r="Q195" i="6" s="1"/>
  <c r="Q183" i="2" s="1"/>
  <c r="Z353" i="5"/>
  <c r="Z346" i="5" s="1"/>
  <c r="Z347" i="5" s="1"/>
  <c r="Q305" i="6" s="1"/>
  <c r="Z366" i="5"/>
  <c r="Z367" i="5" s="1"/>
  <c r="Z291" i="5" s="1"/>
  <c r="Q196" i="6" s="1"/>
  <c r="Q184" i="2" s="1"/>
  <c r="P306" i="6"/>
  <c r="Z238" i="5"/>
  <c r="Z116" i="5" s="1"/>
  <c r="Q72" i="6" s="1"/>
  <c r="X259" i="5"/>
  <c r="P155" i="6" s="1"/>
  <c r="Z22" i="8"/>
  <c r="Z27" i="8" s="1"/>
  <c r="DK27" i="8" s="1"/>
  <c r="Q38" i="6"/>
  <c r="I118" i="6"/>
  <c r="I124" i="6"/>
  <c r="P196" i="2"/>
  <c r="M23" i="9"/>
  <c r="M28" i="9" s="1"/>
  <c r="BH28" i="9" s="1"/>
  <c r="P55" i="6"/>
  <c r="M22" i="9"/>
  <c r="M27" i="9" s="1"/>
  <c r="BH27" i="9" s="1"/>
  <c r="P40" i="6"/>
  <c r="P41" i="6"/>
  <c r="P143" i="6"/>
  <c r="X164" i="5"/>
  <c r="X165" i="5"/>
  <c r="N24" i="9"/>
  <c r="N29" i="9" s="1"/>
  <c r="BI29" i="9" s="1"/>
  <c r="Q54" i="6"/>
  <c r="X376" i="5"/>
  <c r="Y377" i="5" s="1"/>
  <c r="Z229" i="5"/>
  <c r="Q52" i="6" s="1"/>
  <c r="Q50" i="6"/>
  <c r="R168" i="5"/>
  <c r="M113" i="6"/>
  <c r="P98" i="6"/>
  <c r="N379" i="2"/>
  <c r="N174" i="2"/>
  <c r="Z178" i="5"/>
  <c r="Q136" i="6"/>
  <c r="O142" i="2"/>
  <c r="I278" i="2"/>
  <c r="X231" i="5"/>
  <c r="X115" i="5"/>
  <c r="P69" i="6"/>
  <c r="X117" i="5"/>
  <c r="U329" i="5"/>
  <c r="V329" i="5" s="1"/>
  <c r="N235" i="6"/>
  <c r="N223" i="2" s="1"/>
  <c r="I167" i="2"/>
  <c r="Z210" i="5"/>
  <c r="Z7" i="8"/>
  <c r="DK7" i="8" s="1"/>
  <c r="Q68" i="6"/>
  <c r="N3" i="10" s="1"/>
  <c r="N5" i="10" s="1"/>
  <c r="N122" i="2"/>
  <c r="N332" i="2"/>
  <c r="V549" i="5"/>
  <c r="O132" i="6"/>
  <c r="Z113" i="5"/>
  <c r="Z211" i="5"/>
  <c r="I167" i="6"/>
  <c r="I269" i="2" s="1"/>
  <c r="M134" i="2" a="1"/>
  <c r="M134" i="2" s="1"/>
  <c r="O150" i="6"/>
  <c r="O245" i="2" s="1"/>
  <c r="O133" i="6"/>
  <c r="O171" i="2" s="1"/>
  <c r="AB234" i="5"/>
  <c r="AB172" i="5" s="1"/>
  <c r="AB178" i="5" s="1"/>
  <c r="AB164" i="5" s="1"/>
  <c r="AB549" i="5" s="1"/>
  <c r="AB24" i="8"/>
  <c r="AB29" i="8" s="1"/>
  <c r="DM29" i="8" s="1"/>
  <c r="I129" i="6"/>
  <c r="I302" i="2" s="1"/>
  <c r="L331" i="2"/>
  <c r="L135" i="2" a="1"/>
  <c r="L135" i="2" s="1"/>
  <c r="M101" i="6"/>
  <c r="J6" i="10"/>
  <c r="J8" i="10" s="1"/>
  <c r="J8" i="9"/>
  <c r="BE8" i="9" s="1"/>
  <c r="M276" i="6"/>
  <c r="P217" i="2"/>
  <c r="P94" i="6"/>
  <c r="M7" i="9"/>
  <c r="BH7" i="9" s="1"/>
  <c r="P140" i="2"/>
  <c r="N383" i="2"/>
  <c r="M246" i="2"/>
  <c r="V8" i="8"/>
  <c r="DG8" i="8" s="1"/>
  <c r="O75" i="6"/>
  <c r="AH71" i="5"/>
  <c r="AH109" i="5" s="1"/>
  <c r="AH201" i="5"/>
  <c r="AH105" i="5"/>
  <c r="AH68" i="5"/>
  <c r="AH189" i="5"/>
  <c r="AH198" i="5" s="1"/>
  <c r="AJ64" i="5"/>
  <c r="AH194" i="5"/>
  <c r="AH200" i="5" s="1"/>
  <c r="N627" i="5"/>
  <c r="N629" i="5" s="1"/>
  <c r="N630" i="5" s="1"/>
  <c r="N550" i="5" s="1"/>
  <c r="N554" i="5" s="1"/>
  <c r="AD110" i="5"/>
  <c r="AD112" i="5" s="1"/>
  <c r="AD142" i="5" s="1"/>
  <c r="AD167" i="5" s="1"/>
  <c r="AD106" i="5"/>
  <c r="AD133" i="5" s="1"/>
  <c r="AD208" i="5"/>
  <c r="AD76" i="5"/>
  <c r="AD217" i="5"/>
  <c r="AD186" i="5"/>
  <c r="AD197" i="5" s="1"/>
  <c r="AD203" i="5" s="1"/>
  <c r="AD226" i="5"/>
  <c r="AD234" i="5" s="1"/>
  <c r="AD172" i="5" s="1"/>
  <c r="AD178" i="5" s="1"/>
  <c r="V252" i="5"/>
  <c r="O149" i="6" s="1"/>
  <c r="O244" i="2" s="1"/>
  <c r="V552" i="5"/>
  <c r="AB361" i="5"/>
  <c r="AB362" i="5" s="1"/>
  <c r="AB238" i="5"/>
  <c r="AB116" i="5" s="1"/>
  <c r="AB134" i="5"/>
  <c r="AB371" i="5"/>
  <c r="AB372" i="5" s="1"/>
  <c r="AB307" i="5" s="1"/>
  <c r="AB366" i="5"/>
  <c r="AB367" i="5" s="1"/>
  <c r="AB291" i="5" s="1"/>
  <c r="AB353" i="5"/>
  <c r="AB113" i="5"/>
  <c r="AB115" i="5" s="1"/>
  <c r="AB135" i="5" s="1"/>
  <c r="AB210" i="5"/>
  <c r="AB211" i="5"/>
  <c r="AF75" i="5"/>
  <c r="AF208" i="5" s="1"/>
  <c r="AF108" i="5"/>
  <c r="W552" i="5"/>
  <c r="AB227" i="5"/>
  <c r="AB229" i="5" s="1"/>
  <c r="AB218" i="5"/>
  <c r="AC244" i="2"/>
  <c r="AB379" i="2"/>
  <c r="AC245" i="2"/>
  <c r="AD217" i="2"/>
  <c r="Z193" i="2"/>
  <c r="AE141" i="2"/>
  <c r="AB332" i="2"/>
  <c r="AD196" i="2"/>
  <c r="Z331" i="2"/>
  <c r="AB383" i="2"/>
  <c r="W278" i="2"/>
  <c r="Z135" i="2"/>
  <c r="AC242" i="2"/>
  <c r="W302" i="2"/>
  <c r="AC256" i="2"/>
  <c r="W167" i="2"/>
  <c r="AC171" i="2"/>
  <c r="AA134" i="2"/>
  <c r="AE183" i="2"/>
  <c r="Z156" i="2"/>
  <c r="AB242" i="2"/>
  <c r="AA246" i="2"/>
  <c r="AB334" i="2"/>
  <c r="AE203" i="2"/>
  <c r="Z314" i="2"/>
  <c r="Y195" i="2"/>
  <c r="AD140" i="2"/>
  <c r="AC142" i="2"/>
  <c r="Z333" i="2"/>
  <c r="AE184" i="2"/>
  <c r="AB246" i="2"/>
  <c r="Z123" i="2"/>
  <c r="AD141" i="2"/>
  <c r="W269" i="2"/>
  <c r="AA149" i="2"/>
  <c r="AB174" i="2"/>
  <c r="Z154" i="2"/>
  <c r="AB122" i="2"/>
  <c r="AB223" i="2"/>
  <c r="K6" i="10" l="1"/>
  <c r="K8" i="10" s="1"/>
  <c r="N149" i="2"/>
  <c r="N314" i="2" s="1"/>
  <c r="L6" i="10"/>
  <c r="L8" i="10" s="1"/>
  <c r="O149" i="2"/>
  <c r="O147" i="2" s="1"/>
  <c r="L195" i="2"/>
  <c r="L315" i="2"/>
  <c r="N276" i="6"/>
  <c r="N101" i="6"/>
  <c r="X253" i="5"/>
  <c r="L377" i="2"/>
  <c r="L335" i="2"/>
  <c r="K8" i="9"/>
  <c r="BF8" i="9" s="1"/>
  <c r="L243" i="6"/>
  <c r="Q356" i="5"/>
  <c r="Q300" i="5" s="1"/>
  <c r="Q304" i="5" s="1"/>
  <c r="T168" i="5"/>
  <c r="O182" i="6"/>
  <c r="Q56" i="6"/>
  <c r="N31" i="9"/>
  <c r="Z259" i="5"/>
  <c r="Q155" i="6" s="1"/>
  <c r="Q256" i="2" s="1"/>
  <c r="Q217" i="2"/>
  <c r="O334" i="2"/>
  <c r="P256" i="2"/>
  <c r="P309" i="6"/>
  <c r="O262" i="2"/>
  <c r="X265" i="5"/>
  <c r="P161" i="6" s="1"/>
  <c r="P188" i="6" s="1"/>
  <c r="Q306" i="6"/>
  <c r="X551" i="5"/>
  <c r="Z376" i="5"/>
  <c r="AA377" i="5" s="1"/>
  <c r="O113" i="6"/>
  <c r="Q98" i="6"/>
  <c r="X377" i="5"/>
  <c r="X252" i="5" s="1"/>
  <c r="P149" i="6" s="1"/>
  <c r="P244" i="2" s="1"/>
  <c r="M123" i="2"/>
  <c r="M314" i="2"/>
  <c r="X119" i="5"/>
  <c r="P73" i="6"/>
  <c r="O101" i="6"/>
  <c r="L8" i="9"/>
  <c r="BG8" i="9" s="1"/>
  <c r="O276" i="6"/>
  <c r="N23" i="9"/>
  <c r="N28" i="9" s="1"/>
  <c r="BI28" i="9" s="1"/>
  <c r="Q55" i="6"/>
  <c r="P143" i="2"/>
  <c r="P95" i="6"/>
  <c r="I307" i="2"/>
  <c r="I236" i="6"/>
  <c r="I224" i="2" s="1"/>
  <c r="I239" i="6"/>
  <c r="X135" i="5"/>
  <c r="P71" i="6"/>
  <c r="P97" i="6" s="1"/>
  <c r="W329" i="5"/>
  <c r="X329" i="5" s="1"/>
  <c r="O235" i="6"/>
  <c r="O223" i="2" s="1"/>
  <c r="O174" i="2"/>
  <c r="O379" i="2"/>
  <c r="Q196" i="2"/>
  <c r="Q94" i="6"/>
  <c r="N7" i="9"/>
  <c r="BI7" i="9" s="1"/>
  <c r="Q140" i="2"/>
  <c r="P150" i="6"/>
  <c r="P245" i="2" s="1"/>
  <c r="P133" i="6"/>
  <c r="P171" i="2" s="1"/>
  <c r="N22" i="9"/>
  <c r="N27" i="9" s="1"/>
  <c r="BI27" i="9" s="1"/>
  <c r="Q40" i="6"/>
  <c r="Q41" i="6"/>
  <c r="I303" i="2"/>
  <c r="I125" i="2"/>
  <c r="Z115" i="5"/>
  <c r="Q69" i="6"/>
  <c r="X549" i="5"/>
  <c r="P132" i="6"/>
  <c r="O383" i="2"/>
  <c r="P142" i="2"/>
  <c r="N134" i="2" a="1"/>
  <c r="N134" i="2" s="1"/>
  <c r="Z117" i="5"/>
  <c r="O122" i="2"/>
  <c r="O332" i="2"/>
  <c r="AB165" i="5"/>
  <c r="AB253" i="5" s="1"/>
  <c r="I169" i="2"/>
  <c r="M331" i="2"/>
  <c r="O246" i="2"/>
  <c r="Z231" i="5"/>
  <c r="Q143" i="6"/>
  <c r="Z164" i="5"/>
  <c r="Z165" i="5"/>
  <c r="N331" i="2"/>
  <c r="AD371" i="5"/>
  <c r="AD372" i="5" s="1"/>
  <c r="AD307" i="5" s="1"/>
  <c r="AD134" i="5"/>
  <c r="AD366" i="5"/>
  <c r="AD367" i="5" s="1"/>
  <c r="AD291" i="5" s="1"/>
  <c r="AD361" i="5"/>
  <c r="AD362" i="5" s="1"/>
  <c r="AD238" i="5"/>
  <c r="AD116" i="5" s="1"/>
  <c r="AD353" i="5"/>
  <c r="AF110" i="5"/>
  <c r="AF112" i="5" s="1"/>
  <c r="AF142" i="5" s="1"/>
  <c r="AF167" i="5" s="1"/>
  <c r="AF106" i="5"/>
  <c r="AF133" i="5" s="1"/>
  <c r="AB231" i="5"/>
  <c r="AB117" i="5"/>
  <c r="AB119" i="5" s="1"/>
  <c r="AB259" i="5"/>
  <c r="AB346" i="5"/>
  <c r="AB347" i="5" s="1"/>
  <c r="N555" i="5"/>
  <c r="N556" i="5"/>
  <c r="N628" i="5"/>
  <c r="O625" i="5" s="1"/>
  <c r="AJ201" i="5"/>
  <c r="AJ189" i="5"/>
  <c r="AJ198" i="5" s="1"/>
  <c r="AJ105" i="5"/>
  <c r="AL64" i="5"/>
  <c r="AJ71" i="5"/>
  <c r="AJ109" i="5" s="1"/>
  <c r="AJ68" i="5"/>
  <c r="AJ194" i="5"/>
  <c r="AJ200" i="5" s="1"/>
  <c r="AB376" i="5"/>
  <c r="AB290" i="5"/>
  <c r="AH75" i="5"/>
  <c r="AH108" i="5"/>
  <c r="AD113" i="5"/>
  <c r="AD115" i="5" s="1"/>
  <c r="AD135" i="5" s="1"/>
  <c r="AD211" i="5"/>
  <c r="AD210" i="5"/>
  <c r="AF186" i="5"/>
  <c r="AF197" i="5" s="1"/>
  <c r="AF203" i="5" s="1"/>
  <c r="AF76" i="5"/>
  <c r="AF217" i="5"/>
  <c r="AF226" i="5"/>
  <c r="AF234" i="5" s="1"/>
  <c r="AF172" i="5" s="1"/>
  <c r="AF178" i="5" s="1"/>
  <c r="AD164" i="5"/>
  <c r="AD549" i="5" s="1"/>
  <c r="AD165" i="5"/>
  <c r="Y552" i="5"/>
  <c r="Y252" i="5"/>
  <c r="AD227" i="5"/>
  <c r="AD229" i="5" s="1"/>
  <c r="AD218" i="5"/>
  <c r="AD245" i="2"/>
  <c r="AC332" i="2"/>
  <c r="AD171" i="2"/>
  <c r="AA331" i="2"/>
  <c r="AC262" i="2"/>
  <c r="AC334" i="2"/>
  <c r="W303" i="2"/>
  <c r="AC147" i="2"/>
  <c r="AE217" i="2"/>
  <c r="AB314" i="2"/>
  <c r="AA123" i="2"/>
  <c r="W224" i="2"/>
  <c r="Z335" i="2"/>
  <c r="W169" i="2"/>
  <c r="W125" i="2"/>
  <c r="AC379" i="2"/>
  <c r="Z377" i="2"/>
  <c r="AD143" i="2"/>
  <c r="AD244" i="2"/>
  <c r="Z315" i="2"/>
  <c r="AC174" i="2"/>
  <c r="AB331" i="2"/>
  <c r="AC223" i="2"/>
  <c r="AB149" i="2"/>
  <c r="AC246" i="2"/>
  <c r="AE256" i="2"/>
  <c r="AB134" i="2"/>
  <c r="AE196" i="2"/>
  <c r="AD256" i="2"/>
  <c r="AC383" i="2"/>
  <c r="Z195" i="2"/>
  <c r="AA314" i="2"/>
  <c r="AE140" i="2"/>
  <c r="AC122" i="2"/>
  <c r="W307" i="2"/>
  <c r="AD142" i="2"/>
  <c r="N123" i="2" l="1"/>
  <c r="N147" i="2"/>
  <c r="Q262" i="2"/>
  <c r="Z253" i="5"/>
  <c r="AD253" i="5"/>
  <c r="R352" i="5"/>
  <c r="AB8" i="8"/>
  <c r="DM8" i="8" s="1"/>
  <c r="Z265" i="5"/>
  <c r="Q161" i="6" s="1"/>
  <c r="Q188" i="6" s="1"/>
  <c r="Z551" i="5"/>
  <c r="Z377" i="5"/>
  <c r="O263" i="2"/>
  <c r="P262" i="2"/>
  <c r="P182" i="6"/>
  <c r="X552" i="5"/>
  <c r="R340" i="5"/>
  <c r="R341" i="5" s="1"/>
  <c r="R120" i="5" s="1"/>
  <c r="R356" i="5"/>
  <c r="I246" i="6"/>
  <c r="I226" i="2"/>
  <c r="P122" i="2"/>
  <c r="P332" i="2"/>
  <c r="Q143" i="2"/>
  <c r="Q95" i="6"/>
  <c r="Z135" i="5"/>
  <c r="Q71" i="6"/>
  <c r="Q97" i="6" s="1"/>
  <c r="O331" i="2"/>
  <c r="P99" i="6"/>
  <c r="N135" i="2" a="1"/>
  <c r="N135" i="2" s="1"/>
  <c r="X8" i="8"/>
  <c r="DI8" i="8" s="1"/>
  <c r="P75" i="6"/>
  <c r="X144" i="5"/>
  <c r="X441" i="5"/>
  <c r="X136" i="5"/>
  <c r="X548" i="5"/>
  <c r="Y441" i="5"/>
  <c r="X249" i="5"/>
  <c r="P146" i="6" s="1"/>
  <c r="P242" i="2" s="1"/>
  <c r="I137" i="2" a="1"/>
  <c r="I137" i="2" s="1"/>
  <c r="Z119" i="5"/>
  <c r="Q73" i="6"/>
  <c r="Y329" i="5"/>
  <c r="Z329" i="5" s="1"/>
  <c r="P235" i="6"/>
  <c r="P223" i="2" s="1"/>
  <c r="Q150" i="6"/>
  <c r="Q245" i="2" s="1"/>
  <c r="Q133" i="6"/>
  <c r="Q171" i="2" s="1"/>
  <c r="Q142" i="2"/>
  <c r="P334" i="2"/>
  <c r="P174" i="2"/>
  <c r="P379" i="2"/>
  <c r="Z549" i="5"/>
  <c r="Q132" i="6"/>
  <c r="K391" i="5"/>
  <c r="I316" i="2"/>
  <c r="I172" i="2"/>
  <c r="I296" i="2"/>
  <c r="D22" i="2"/>
  <c r="O123" i="2"/>
  <c r="O314" i="2"/>
  <c r="O134" i="2" a="1"/>
  <c r="O134" i="2" s="1"/>
  <c r="P383" i="2"/>
  <c r="I163" i="6"/>
  <c r="I267" i="2" s="1"/>
  <c r="M135" i="2" a="1"/>
  <c r="M135" i="2" s="1"/>
  <c r="AB551" i="5"/>
  <c r="AB265" i="5"/>
  <c r="AL201" i="5"/>
  <c r="AL194" i="5"/>
  <c r="AL200" i="5" s="1"/>
  <c r="AL105" i="5"/>
  <c r="AL68" i="5"/>
  <c r="AL71" i="5"/>
  <c r="AL109" i="5" s="1"/>
  <c r="AL189" i="5"/>
  <c r="AL198" i="5" s="1"/>
  <c r="AF211" i="5"/>
  <c r="AF210" i="5"/>
  <c r="AF113" i="5"/>
  <c r="AF115" i="5" s="1"/>
  <c r="AF135" i="5" s="1"/>
  <c r="O627" i="5"/>
  <c r="O629" i="5" s="1"/>
  <c r="O630" i="5" s="1"/>
  <c r="O550" i="5" s="1"/>
  <c r="O554" i="5" s="1"/>
  <c r="AB249" i="5"/>
  <c r="AC441" i="5"/>
  <c r="AB136" i="5"/>
  <c r="AB144" i="5"/>
  <c r="AB168" i="5" s="1"/>
  <c r="AB441" i="5"/>
  <c r="AB548" i="5"/>
  <c r="AA552" i="5"/>
  <c r="AA252" i="5"/>
  <c r="AH217" i="5"/>
  <c r="AH226" i="5"/>
  <c r="AH234" i="5" s="1"/>
  <c r="AH172" i="5" s="1"/>
  <c r="AH178" i="5" s="1"/>
  <c r="AH186" i="5"/>
  <c r="AH197" i="5" s="1"/>
  <c r="AH203" i="5" s="1"/>
  <c r="AH76" i="5"/>
  <c r="AJ108" i="5"/>
  <c r="AJ75" i="5"/>
  <c r="AF165" i="5"/>
  <c r="AF164" i="5"/>
  <c r="AF549" i="5" s="1"/>
  <c r="AF227" i="5"/>
  <c r="AF229" i="5" s="1"/>
  <c r="AF218" i="5"/>
  <c r="Z552" i="5"/>
  <c r="Z252" i="5"/>
  <c r="Q149" i="6" s="1"/>
  <c r="Q244" i="2" s="1"/>
  <c r="AD231" i="5"/>
  <c r="AD117" i="5"/>
  <c r="AD119" i="5" s="1"/>
  <c r="AH110" i="5"/>
  <c r="AH112" i="5" s="1"/>
  <c r="AH142" i="5" s="1"/>
  <c r="AH167" i="5" s="1"/>
  <c r="AH106" i="5"/>
  <c r="AH133" i="5" s="1"/>
  <c r="AD346" i="5"/>
  <c r="AD347" i="5" s="1"/>
  <c r="AD259" i="5"/>
  <c r="AD376" i="5"/>
  <c r="AD290" i="5"/>
  <c r="AF238" i="5"/>
  <c r="AF116" i="5" s="1"/>
  <c r="AF366" i="5"/>
  <c r="AF367" i="5" s="1"/>
  <c r="AF291" i="5" s="1"/>
  <c r="AF371" i="5"/>
  <c r="AF372" i="5" s="1"/>
  <c r="AF307" i="5" s="1"/>
  <c r="AF134" i="5"/>
  <c r="AF361" i="5"/>
  <c r="AF362" i="5" s="1"/>
  <c r="AF353" i="5"/>
  <c r="AH208" i="5"/>
  <c r="AC377" i="5"/>
  <c r="AB377" i="5"/>
  <c r="AB123" i="2"/>
  <c r="AC149" i="2"/>
  <c r="AC331" i="2"/>
  <c r="W267" i="2"/>
  <c r="AD174" i="2"/>
  <c r="AD122" i="2"/>
  <c r="AE171" i="2"/>
  <c r="W172" i="2"/>
  <c r="AD332" i="2"/>
  <c r="AE244" i="2"/>
  <c r="AB135" i="2"/>
  <c r="W316" i="2"/>
  <c r="AB147" i="2"/>
  <c r="AE245" i="2"/>
  <c r="R22" i="2"/>
  <c r="AD334" i="2"/>
  <c r="AE143" i="2"/>
  <c r="W296" i="2"/>
  <c r="AD379" i="2"/>
  <c r="AC123" i="2"/>
  <c r="AC314" i="2"/>
  <c r="AE262" i="2"/>
  <c r="AD242" i="2"/>
  <c r="AA135" i="2"/>
  <c r="W137" i="2"/>
  <c r="AC134" i="2"/>
  <c r="AD262" i="2"/>
  <c r="AD383" i="2"/>
  <c r="AD223" i="2"/>
  <c r="AE142" i="2"/>
  <c r="W226" i="2"/>
  <c r="M6" i="10" l="1"/>
  <c r="M8" i="10" s="1"/>
  <c r="P149" i="2"/>
  <c r="P147" i="2" s="1"/>
  <c r="Q182" i="6"/>
  <c r="Q263" i="2"/>
  <c r="P263" i="2"/>
  <c r="AF253" i="5"/>
  <c r="Q334" i="2"/>
  <c r="R300" i="5"/>
  <c r="S352" i="5"/>
  <c r="R624" i="5"/>
  <c r="R626" i="5" s="1"/>
  <c r="M76" i="6"/>
  <c r="I214" i="6"/>
  <c r="I202" i="2" s="1"/>
  <c r="J430" i="5"/>
  <c r="I176" i="2"/>
  <c r="P246" i="2"/>
  <c r="Q99" i="6"/>
  <c r="Z8" i="8"/>
  <c r="DK8" i="8" s="1"/>
  <c r="Q75" i="6"/>
  <c r="Z144" i="5"/>
  <c r="AA441" i="5"/>
  <c r="Z249" i="5"/>
  <c r="Q146" i="6" s="1"/>
  <c r="Q242" i="2" s="1"/>
  <c r="Z136" i="5"/>
  <c r="Z441" i="5"/>
  <c r="Z548" i="5"/>
  <c r="I171" i="6"/>
  <c r="P101" i="6"/>
  <c r="M8" i="9"/>
  <c r="BH8" i="9" s="1"/>
  <c r="P276" i="6"/>
  <c r="O135" i="2" a="1"/>
  <c r="O135" i="2" s="1"/>
  <c r="Q122" i="2"/>
  <c r="Q332" i="2"/>
  <c r="AA329" i="5"/>
  <c r="AB329" i="5" s="1"/>
  <c r="AC329" i="5" s="1"/>
  <c r="AD329" i="5" s="1"/>
  <c r="AE329" i="5" s="1"/>
  <c r="AF329" i="5" s="1"/>
  <c r="AG329" i="5" s="1"/>
  <c r="AH329" i="5" s="1"/>
  <c r="AI329" i="5" s="1"/>
  <c r="Q235" i="6"/>
  <c r="Q223" i="2" s="1"/>
  <c r="X168" i="5"/>
  <c r="P113" i="6"/>
  <c r="Q174" i="2"/>
  <c r="Q379" i="2"/>
  <c r="P134" i="2" a="1"/>
  <c r="P134" i="2" s="1"/>
  <c r="Q383" i="2"/>
  <c r="I272" i="2"/>
  <c r="I385" i="2"/>
  <c r="I228" i="2"/>
  <c r="O555" i="5"/>
  <c r="O556" i="5"/>
  <c r="AH210" i="5"/>
  <c r="AH211" i="5"/>
  <c r="AH113" i="5"/>
  <c r="AH115" i="5" s="1"/>
  <c r="AH218" i="5"/>
  <c r="AH227" i="5"/>
  <c r="AH229" i="5" s="1"/>
  <c r="AF376" i="5"/>
  <c r="AF290" i="5"/>
  <c r="AF117" i="5"/>
  <c r="AF119" i="5" s="1"/>
  <c r="AF231" i="5"/>
  <c r="O628" i="5"/>
  <c r="P625" i="5" s="1"/>
  <c r="AJ106" i="5"/>
  <c r="AJ133" i="5" s="1"/>
  <c r="AJ110" i="5"/>
  <c r="AJ112" i="5" s="1"/>
  <c r="AJ142" i="5" s="1"/>
  <c r="AJ167" i="5" s="1"/>
  <c r="AH164" i="5"/>
  <c r="AH549" i="5" s="1"/>
  <c r="AH165" i="5"/>
  <c r="AL108" i="5"/>
  <c r="AL75" i="5"/>
  <c r="AJ208" i="5"/>
  <c r="AJ226" i="5"/>
  <c r="AJ76" i="5"/>
  <c r="AJ217" i="5"/>
  <c r="AJ186" i="5"/>
  <c r="AJ197" i="5" s="1"/>
  <c r="AJ203" i="5" s="1"/>
  <c r="AB252" i="5"/>
  <c r="AB552" i="5"/>
  <c r="AC552" i="5"/>
  <c r="AC252" i="5"/>
  <c r="AD377" i="5"/>
  <c r="AE377" i="5"/>
  <c r="AD551" i="5"/>
  <c r="AD265" i="5"/>
  <c r="AD249" i="5"/>
  <c r="AD548" i="5"/>
  <c r="AD441" i="5"/>
  <c r="AE441" i="5"/>
  <c r="AD136" i="5"/>
  <c r="AD144" i="5"/>
  <c r="AD168" i="5" s="1"/>
  <c r="AH366" i="5"/>
  <c r="AH367" i="5" s="1"/>
  <c r="AH291" i="5" s="1"/>
  <c r="AH371" i="5"/>
  <c r="AH372" i="5" s="1"/>
  <c r="AH307" i="5" s="1"/>
  <c r="AH238" i="5"/>
  <c r="AH116" i="5" s="1"/>
  <c r="AH134" i="5"/>
  <c r="AH361" i="5"/>
  <c r="AH362" i="5" s="1"/>
  <c r="AH353" i="5"/>
  <c r="AF346" i="5"/>
  <c r="AF347" i="5" s="1"/>
  <c r="AF259" i="5"/>
  <c r="AE122" i="2"/>
  <c r="AE332" i="2"/>
  <c r="AD147" i="2"/>
  <c r="AE174" i="2"/>
  <c r="AD149" i="2"/>
  <c r="W176" i="2"/>
  <c r="AE242" i="2"/>
  <c r="W228" i="2"/>
  <c r="AD246" i="2"/>
  <c r="AC135" i="2"/>
  <c r="AE379" i="2"/>
  <c r="W202" i="2"/>
  <c r="AE334" i="2"/>
  <c r="AD134" i="2"/>
  <c r="AE223" i="2"/>
  <c r="AE383" i="2"/>
  <c r="W272" i="2"/>
  <c r="W385" i="2"/>
  <c r="N6" i="10" l="1"/>
  <c r="N8" i="10" s="1"/>
  <c r="Q149" i="2"/>
  <c r="Q147" i="2" s="1"/>
  <c r="AH253" i="5"/>
  <c r="M102" i="6"/>
  <c r="M154" i="2"/>
  <c r="S340" i="5"/>
  <c r="S341" i="5" s="1"/>
  <c r="S120" i="5" s="1"/>
  <c r="S624" i="5" s="1"/>
  <c r="S626" i="5" s="1"/>
  <c r="S356" i="5"/>
  <c r="R304" i="5"/>
  <c r="M209" i="6" s="1"/>
  <c r="M205" i="6"/>
  <c r="M193" i="2" s="1"/>
  <c r="Q134" i="2" a="1"/>
  <c r="Q134" i="2" s="1"/>
  <c r="Q246" i="2"/>
  <c r="Z168" i="5"/>
  <c r="Q113" i="6"/>
  <c r="I189" i="6"/>
  <c r="I183" i="6"/>
  <c r="I273" i="2"/>
  <c r="I282" i="2"/>
  <c r="I298" i="2"/>
  <c r="I177" i="2"/>
  <c r="P331" i="2"/>
  <c r="Q101" i="6"/>
  <c r="N8" i="9"/>
  <c r="BI8" i="9" s="1"/>
  <c r="Q276" i="6"/>
  <c r="I308" i="2"/>
  <c r="I237" i="2"/>
  <c r="I233" i="2"/>
  <c r="I234" i="2"/>
  <c r="I322" i="2"/>
  <c r="I276" i="2"/>
  <c r="I222" i="6"/>
  <c r="I244" i="6" s="1"/>
  <c r="I174" i="6"/>
  <c r="P123" i="2"/>
  <c r="P314" i="2"/>
  <c r="I381" i="2"/>
  <c r="I208" i="2"/>
  <c r="P627" i="5"/>
  <c r="P629" i="5" s="1"/>
  <c r="P630" i="5" s="1"/>
  <c r="P550" i="5" s="1"/>
  <c r="P554" i="5" s="1"/>
  <c r="AF249" i="5"/>
  <c r="AF441" i="5"/>
  <c r="AF548" i="5"/>
  <c r="AF136" i="5"/>
  <c r="AG441" i="5"/>
  <c r="AF144" i="5"/>
  <c r="AF168" i="5" s="1"/>
  <c r="AJ227" i="5"/>
  <c r="AJ229" i="5" s="1"/>
  <c r="AJ218" i="5"/>
  <c r="AH117" i="5"/>
  <c r="AH119" i="5" s="1"/>
  <c r="AH231" i="5"/>
  <c r="AH135" i="5"/>
  <c r="AJ210" i="5"/>
  <c r="AJ211" i="5"/>
  <c r="AJ113" i="5"/>
  <c r="AJ115" i="5" s="1"/>
  <c r="AJ135" i="5" s="1"/>
  <c r="AJ234" i="5"/>
  <c r="AJ172" i="5" s="1"/>
  <c r="AE552" i="5"/>
  <c r="AE252" i="5"/>
  <c r="AG377" i="5"/>
  <c r="AF377" i="5"/>
  <c r="AL208" i="5"/>
  <c r="AL226" i="5"/>
  <c r="AL234" i="5" s="1"/>
  <c r="AL172" i="5" s="1"/>
  <c r="AL178" i="5" s="1"/>
  <c r="AL217" i="5"/>
  <c r="AL186" i="5"/>
  <c r="AL197" i="5" s="1"/>
  <c r="AL203" i="5" s="1"/>
  <c r="AL76" i="5"/>
  <c r="AL106" i="5"/>
  <c r="AL133" i="5" s="1"/>
  <c r="AL110" i="5"/>
  <c r="AL112" i="5" s="1"/>
  <c r="AL142" i="5" s="1"/>
  <c r="AL167" i="5" s="1"/>
  <c r="AH346" i="5"/>
  <c r="AH347" i="5" s="1"/>
  <c r="AH259" i="5"/>
  <c r="AH376" i="5"/>
  <c r="AH290" i="5"/>
  <c r="AD552" i="5"/>
  <c r="AD252" i="5"/>
  <c r="AF551" i="5"/>
  <c r="AF265" i="5"/>
  <c r="AJ361" i="5"/>
  <c r="AJ362" i="5" s="1"/>
  <c r="AJ238" i="5"/>
  <c r="AJ116" i="5" s="1"/>
  <c r="AJ366" i="5"/>
  <c r="AJ367" i="5" s="1"/>
  <c r="AJ291" i="5" s="1"/>
  <c r="AJ371" i="5"/>
  <c r="AJ372" i="5" s="1"/>
  <c r="AJ307" i="5" s="1"/>
  <c r="AJ134" i="5"/>
  <c r="AJ353" i="5"/>
  <c r="AD331" i="2"/>
  <c r="W233" i="2"/>
  <c r="W208" i="2"/>
  <c r="AE149" i="2"/>
  <c r="W237" i="2"/>
  <c r="W276" i="2"/>
  <c r="W298" i="2"/>
  <c r="W322" i="2"/>
  <c r="AA154" i="2"/>
  <c r="AE246" i="2"/>
  <c r="AE147" i="2"/>
  <c r="AA193" i="2"/>
  <c r="W308" i="2"/>
  <c r="W381" i="2"/>
  <c r="AE134" i="2"/>
  <c r="W234" i="2"/>
  <c r="AD314" i="2"/>
  <c r="AD123" i="2"/>
  <c r="M195" i="2" l="1"/>
  <c r="M243" i="6"/>
  <c r="S300" i="5"/>
  <c r="S304" i="5" s="1"/>
  <c r="T352" i="5"/>
  <c r="M156" i="2"/>
  <c r="M333" i="2"/>
  <c r="M335" i="2"/>
  <c r="I177" i="6"/>
  <c r="K279" i="5"/>
  <c r="K385" i="5" s="1"/>
  <c r="P135" i="2" a="1"/>
  <c r="P135" i="2" s="1"/>
  <c r="I309" i="2"/>
  <c r="I191" i="6"/>
  <c r="I184" i="6"/>
  <c r="I124" i="2"/>
  <c r="I299" i="2"/>
  <c r="I300" i="2"/>
  <c r="Q331" i="2"/>
  <c r="I232" i="6"/>
  <c r="I218" i="2"/>
  <c r="Q314" i="2"/>
  <c r="Q123" i="2"/>
  <c r="AJ231" i="5"/>
  <c r="AJ117" i="5"/>
  <c r="AJ119" i="5" s="1"/>
  <c r="AJ376" i="5"/>
  <c r="AJ290" i="5"/>
  <c r="AL113" i="5"/>
  <c r="AL115" i="5" s="1"/>
  <c r="AL135" i="5" s="1"/>
  <c r="AL210" i="5"/>
  <c r="AL211" i="5"/>
  <c r="AL218" i="5"/>
  <c r="AL227" i="5"/>
  <c r="AL229" i="5" s="1"/>
  <c r="AH377" i="5"/>
  <c r="AI377" i="5"/>
  <c r="AL164" i="5"/>
  <c r="AL549" i="5" s="1"/>
  <c r="AL165" i="5"/>
  <c r="AF252" i="5"/>
  <c r="AF552" i="5"/>
  <c r="AG252" i="5"/>
  <c r="AG552" i="5"/>
  <c r="AH551" i="5"/>
  <c r="AH265" i="5"/>
  <c r="AJ346" i="5"/>
  <c r="AJ347" i="5" s="1"/>
  <c r="AJ259" i="5"/>
  <c r="AL134" i="5"/>
  <c r="AL361" i="5"/>
  <c r="AL362" i="5" s="1"/>
  <c r="AL371" i="5"/>
  <c r="AL372" i="5" s="1"/>
  <c r="AL307" i="5" s="1"/>
  <c r="AL238" i="5"/>
  <c r="AL116" i="5" s="1"/>
  <c r="AL366" i="5"/>
  <c r="AL367" i="5" s="1"/>
  <c r="AL291" i="5" s="1"/>
  <c r="AL353" i="5"/>
  <c r="AJ178" i="5"/>
  <c r="AJ329" i="5"/>
  <c r="AK329" i="5" s="1"/>
  <c r="AL329" i="5" s="1"/>
  <c r="P628" i="5"/>
  <c r="Q625" i="5" s="1"/>
  <c r="AH249" i="5"/>
  <c r="AI441" i="5"/>
  <c r="AH548" i="5"/>
  <c r="AH441" i="5"/>
  <c r="AH144" i="5"/>
  <c r="AH168" i="5" s="1"/>
  <c r="AH136" i="5"/>
  <c r="P555" i="5"/>
  <c r="P556" i="5"/>
  <c r="AA335" i="2"/>
  <c r="W299" i="2"/>
  <c r="AA156" i="2"/>
  <c r="AD135" i="2"/>
  <c r="AE331" i="2"/>
  <c r="W218" i="2"/>
  <c r="W309" i="2"/>
  <c r="AA333" i="2"/>
  <c r="W300" i="2"/>
  <c r="AE314" i="2"/>
  <c r="AE123" i="2"/>
  <c r="W124" i="2"/>
  <c r="AA195" i="2"/>
  <c r="AL253" i="5" l="1"/>
  <c r="I219" i="2"/>
  <c r="M315" i="2"/>
  <c r="M377" i="2"/>
  <c r="T340" i="5"/>
  <c r="T341" i="5" s="1"/>
  <c r="T120" i="5" s="1"/>
  <c r="T356" i="5"/>
  <c r="I301" i="2"/>
  <c r="I136" i="2" a="1"/>
  <c r="I136" i="2" s="1"/>
  <c r="Q135" i="2" a="1"/>
  <c r="Q135" i="2" s="1"/>
  <c r="I194" i="6"/>
  <c r="I182" i="2" s="1"/>
  <c r="J431" i="5"/>
  <c r="J433" i="5" s="1"/>
  <c r="K418" i="5"/>
  <c r="J173" i="6"/>
  <c r="I185" i="6"/>
  <c r="I190" i="6"/>
  <c r="AH552" i="5"/>
  <c r="AH252" i="5"/>
  <c r="AK377" i="5"/>
  <c r="AJ377" i="5"/>
  <c r="Q627" i="5"/>
  <c r="Q629" i="5" s="1"/>
  <c r="Q630" i="5" s="1"/>
  <c r="Q550" i="5" s="1"/>
  <c r="Q554" i="5" s="1"/>
  <c r="AL117" i="5"/>
  <c r="AL119" i="5" s="1"/>
  <c r="AL231" i="5"/>
  <c r="AL376" i="5"/>
  <c r="AL377" i="5" s="1"/>
  <c r="AL290" i="5"/>
  <c r="AJ551" i="5"/>
  <c r="AJ265" i="5"/>
  <c r="AJ249" i="5"/>
  <c r="AK441" i="5"/>
  <c r="AJ136" i="5"/>
  <c r="AJ441" i="5"/>
  <c r="AJ548" i="5"/>
  <c r="AJ164" i="5"/>
  <c r="AJ549" i="5" s="1"/>
  <c r="AJ165" i="5"/>
  <c r="AL346" i="5"/>
  <c r="AL347" i="5" s="1"/>
  <c r="AL259" i="5"/>
  <c r="AI552" i="5"/>
  <c r="AI252" i="5"/>
  <c r="AA315" i="2"/>
  <c r="AA377" i="2"/>
  <c r="AE135" i="2"/>
  <c r="W182" i="2"/>
  <c r="W136" i="2"/>
  <c r="W301" i="2"/>
  <c r="AJ253" i="5" l="1"/>
  <c r="U352" i="5"/>
  <c r="U340" i="5" s="1"/>
  <c r="U341" i="5" s="1"/>
  <c r="U120" i="5" s="1"/>
  <c r="T300" i="5"/>
  <c r="T624" i="5"/>
  <c r="T626" i="5" s="1"/>
  <c r="N76" i="6"/>
  <c r="I199" i="6"/>
  <c r="I242" i="6" s="1"/>
  <c r="K424" i="5"/>
  <c r="I282" i="6"/>
  <c r="J436" i="5"/>
  <c r="J439" i="5" s="1"/>
  <c r="J442" i="5"/>
  <c r="I283" i="6" s="1"/>
  <c r="I232" i="2"/>
  <c r="I281" i="2"/>
  <c r="I187" i="2"/>
  <c r="Q628" i="5"/>
  <c r="R625" i="5" s="1"/>
  <c r="R627" i="5" s="1"/>
  <c r="R629" i="5" s="1"/>
  <c r="R630" i="5" s="1"/>
  <c r="R550" i="5" s="1"/>
  <c r="R554" i="5" s="1"/>
  <c r="R556" i="5" s="1"/>
  <c r="AJ144" i="5"/>
  <c r="AJ168" i="5" s="1"/>
  <c r="AL265" i="5"/>
  <c r="AL551" i="5"/>
  <c r="AL552" i="5"/>
  <c r="AL252" i="5"/>
  <c r="AL249" i="5"/>
  <c r="AL548" i="5"/>
  <c r="AL136" i="5"/>
  <c r="AL441" i="5"/>
  <c r="AL144" i="5"/>
  <c r="AL168" i="5" s="1"/>
  <c r="Q555" i="5"/>
  <c r="Q556" i="5"/>
  <c r="AJ552" i="5"/>
  <c r="AJ252" i="5"/>
  <c r="AK252" i="5"/>
  <c r="AK552" i="5"/>
  <c r="W281" i="2"/>
  <c r="W232" i="2"/>
  <c r="W187" i="2"/>
  <c r="K121" i="5" l="1"/>
  <c r="K123" i="5" s="1"/>
  <c r="K426" i="5"/>
  <c r="K423" i="5"/>
  <c r="U356" i="5"/>
  <c r="V352" i="5" s="1"/>
  <c r="V340" i="5" s="1"/>
  <c r="V341" i="5" s="1"/>
  <c r="V120" i="5" s="1"/>
  <c r="N102" i="6"/>
  <c r="N154" i="2"/>
  <c r="T304" i="5"/>
  <c r="N209" i="6" s="1"/>
  <c r="N205" i="6"/>
  <c r="N193" i="2" s="1"/>
  <c r="U624" i="5"/>
  <c r="U626" i="5" s="1"/>
  <c r="J280" i="2"/>
  <c r="J443" i="5"/>
  <c r="I286" i="6" s="1"/>
  <c r="I285" i="6"/>
  <c r="K250" i="5"/>
  <c r="I210" i="6"/>
  <c r="J6" i="5"/>
  <c r="I197" i="2"/>
  <c r="I326" i="2"/>
  <c r="I325" i="2"/>
  <c r="I327" i="2"/>
  <c r="I336" i="2"/>
  <c r="R628" i="5"/>
  <c r="S625" i="5" s="1"/>
  <c r="R555" i="5"/>
  <c r="AB193" i="2"/>
  <c r="W336" i="2"/>
  <c r="W325" i="2"/>
  <c r="W327" i="2"/>
  <c r="W326" i="2"/>
  <c r="W197" i="2"/>
  <c r="AB154" i="2"/>
  <c r="X280" i="2"/>
  <c r="K242" i="5" l="1"/>
  <c r="K124" i="5" s="1"/>
  <c r="K251" i="5" s="1"/>
  <c r="K137" i="5"/>
  <c r="K9" i="8"/>
  <c r="U300" i="5"/>
  <c r="U304" i="5" s="1"/>
  <c r="CV9" i="8"/>
  <c r="AG9" i="8"/>
  <c r="AH9" i="8" s="1"/>
  <c r="V624" i="5"/>
  <c r="V626" i="5" s="1"/>
  <c r="O76" i="6"/>
  <c r="O154" i="2" s="1"/>
  <c r="V356" i="5"/>
  <c r="V300" i="5" s="1"/>
  <c r="N243" i="6"/>
  <c r="N195" i="2"/>
  <c r="N156" i="2"/>
  <c r="N335" i="2"/>
  <c r="N333" i="2"/>
  <c r="K255" i="5"/>
  <c r="K1" i="5" s="1"/>
  <c r="K126" i="5"/>
  <c r="I229" i="2"/>
  <c r="I231" i="2"/>
  <c r="I236" i="2"/>
  <c r="I323" i="2"/>
  <c r="I241" i="6"/>
  <c r="I198" i="2"/>
  <c r="S627" i="5"/>
  <c r="S629" i="5" s="1"/>
  <c r="S630" i="5" s="1"/>
  <c r="S550" i="5" s="1"/>
  <c r="S554" i="5" s="1"/>
  <c r="AB333" i="2"/>
  <c r="AB335" i="2"/>
  <c r="W236" i="2"/>
  <c r="W231" i="2"/>
  <c r="W323" i="2"/>
  <c r="AB156" i="2"/>
  <c r="AC154" i="2"/>
  <c r="AB195" i="2"/>
  <c r="K146" i="5" l="1"/>
  <c r="C10" i="17"/>
  <c r="O102" i="6"/>
  <c r="W352" i="5"/>
  <c r="W340" i="5" s="1"/>
  <c r="W341" i="5" s="1"/>
  <c r="W120" i="5" s="1"/>
  <c r="W624" i="5" s="1"/>
  <c r="W626" i="5" s="1"/>
  <c r="V304" i="5"/>
  <c r="O209" i="6" s="1"/>
  <c r="O205" i="6"/>
  <c r="O193" i="2" s="1"/>
  <c r="N315" i="2"/>
  <c r="N377" i="2"/>
  <c r="K471" i="5"/>
  <c r="K470" i="5" s="1"/>
  <c r="K138" i="5"/>
  <c r="K128" i="5"/>
  <c r="O335" i="2"/>
  <c r="O333" i="2"/>
  <c r="O156" i="2"/>
  <c r="K157" i="5"/>
  <c r="K149" i="5"/>
  <c r="I319" i="2"/>
  <c r="S555" i="5"/>
  <c r="S556" i="5"/>
  <c r="S628" i="5"/>
  <c r="T625" i="5" s="1"/>
  <c r="W319" i="2"/>
  <c r="AB377" i="2"/>
  <c r="AC333" i="2"/>
  <c r="AC156" i="2"/>
  <c r="AB315" i="2"/>
  <c r="AC193" i="2"/>
  <c r="AC335" i="2"/>
  <c r="W356" i="5" l="1"/>
  <c r="X352" i="5" s="1"/>
  <c r="X340" i="5" s="1"/>
  <c r="X341" i="5" s="1"/>
  <c r="X120" i="5" s="1"/>
  <c r="X624" i="5" s="1"/>
  <c r="X626" i="5" s="1"/>
  <c r="O243" i="6"/>
  <c r="O377" i="2"/>
  <c r="O315" i="2"/>
  <c r="K272" i="5"/>
  <c r="K387" i="5" s="1"/>
  <c r="K388" i="5" s="1"/>
  <c r="K392" i="5" s="1"/>
  <c r="K268" i="5" s="1"/>
  <c r="K276" i="5" s="1"/>
  <c r="K280" i="5" s="1"/>
  <c r="K283" i="5" s="1"/>
  <c r="O195" i="2"/>
  <c r="I321" i="2"/>
  <c r="I320" i="2"/>
  <c r="K169" i="5"/>
  <c r="K155" i="5"/>
  <c r="K160" i="5"/>
  <c r="K473" i="5"/>
  <c r="T627" i="5"/>
  <c r="T629" i="5" s="1"/>
  <c r="T630" i="5" s="1"/>
  <c r="T550" i="5" s="1"/>
  <c r="T554" i="5" s="1"/>
  <c r="AC377" i="2"/>
  <c r="AC315" i="2"/>
  <c r="W320" i="2"/>
  <c r="AC195" i="2"/>
  <c r="W321" i="2"/>
  <c r="X356" i="5" l="1"/>
  <c r="Y352" i="5" s="1"/>
  <c r="Y340" i="5" s="1"/>
  <c r="Y341" i="5" s="1"/>
  <c r="Y120" i="5" s="1"/>
  <c r="Y624" i="5" s="1"/>
  <c r="Y626" i="5" s="1"/>
  <c r="W300" i="5"/>
  <c r="W304" i="5" s="1"/>
  <c r="P76" i="6"/>
  <c r="P102" i="6" s="1"/>
  <c r="K330" i="5"/>
  <c r="K333" i="5" s="1"/>
  <c r="K393" i="5"/>
  <c r="L391" i="5" s="1"/>
  <c r="L279" i="5"/>
  <c r="L385" i="5" s="1"/>
  <c r="K289" i="5"/>
  <c r="K284" i="5"/>
  <c r="T628" i="5"/>
  <c r="U625" i="5" s="1"/>
  <c r="U627" i="5" s="1"/>
  <c r="U629" i="5" s="1"/>
  <c r="U630" i="5" s="1"/>
  <c r="U550" i="5" s="1"/>
  <c r="U554" i="5" s="1"/>
  <c r="U556" i="5" s="1"/>
  <c r="T555" i="5"/>
  <c r="T556" i="5"/>
  <c r="X300" i="5" l="1"/>
  <c r="Y356" i="5"/>
  <c r="P154" i="2"/>
  <c r="K308" i="5"/>
  <c r="K316" i="5" s="1"/>
  <c r="K326" i="5" s="1"/>
  <c r="K405" i="5"/>
  <c r="K411" i="5" s="1"/>
  <c r="L412" i="5" s="1"/>
  <c r="K430" i="5"/>
  <c r="K417" i="5"/>
  <c r="L418" i="5" s="1"/>
  <c r="K431" i="5"/>
  <c r="K294" i="5"/>
  <c r="K305" i="5" s="1"/>
  <c r="U628" i="5"/>
  <c r="V625" i="5" s="1"/>
  <c r="V627" i="5" s="1"/>
  <c r="V629" i="5" s="1"/>
  <c r="V630" i="5" s="1"/>
  <c r="V550" i="5" s="1"/>
  <c r="V554" i="5" s="1"/>
  <c r="V556" i="5" s="1"/>
  <c r="U555" i="5"/>
  <c r="AD154" i="2"/>
  <c r="P156" i="2" l="1"/>
  <c r="Z352" i="5"/>
  <c r="Z340" i="5" s="1"/>
  <c r="Z341" i="5" s="1"/>
  <c r="Z120" i="5" s="1"/>
  <c r="Y300" i="5"/>
  <c r="Y304" i="5" s="1"/>
  <c r="Z356" i="5"/>
  <c r="P205" i="6"/>
  <c r="P193" i="2" s="1"/>
  <c r="X304" i="5"/>
  <c r="P209" i="6" s="1"/>
  <c r="P377" i="2"/>
  <c r="P315" i="2"/>
  <c r="P335" i="2"/>
  <c r="P333" i="2"/>
  <c r="K433" i="5"/>
  <c r="K436" i="5" s="1"/>
  <c r="K439" i="5" s="1"/>
  <c r="K443" i="5" s="1"/>
  <c r="L424" i="5"/>
  <c r="K334" i="5"/>
  <c r="K6" i="5" s="1"/>
  <c r="V628" i="5"/>
  <c r="W625" i="5" s="1"/>
  <c r="V555" i="5"/>
  <c r="AD377" i="2"/>
  <c r="AD335" i="2"/>
  <c r="AD333" i="2"/>
  <c r="AD315" i="2"/>
  <c r="AD193" i="2"/>
  <c r="AD156" i="2"/>
  <c r="P243" i="6" l="1"/>
  <c r="K442" i="5"/>
  <c r="AA352" i="5"/>
  <c r="Z300" i="5"/>
  <c r="P195" i="2"/>
  <c r="Z624" i="5"/>
  <c r="Z626" i="5" s="1"/>
  <c r="Q76" i="6"/>
  <c r="L426" i="5"/>
  <c r="L121" i="5"/>
  <c r="L123" i="5" s="1"/>
  <c r="L9" i="8" s="1"/>
  <c r="CW9" i="8" s="1"/>
  <c r="L423" i="5"/>
  <c r="L250" i="5"/>
  <c r="J79" i="6"/>
  <c r="J105" i="6" s="1"/>
  <c r="W627" i="5"/>
  <c r="W629" i="5" s="1"/>
  <c r="W630" i="5" s="1"/>
  <c r="W550" i="5" s="1"/>
  <c r="W554" i="5" s="1"/>
  <c r="AD195" i="2"/>
  <c r="Q102" i="6" l="1"/>
  <c r="Q154" i="2"/>
  <c r="Q205" i="6"/>
  <c r="Q193" i="2" s="1"/>
  <c r="Z304" i="5"/>
  <c r="Q209" i="6" s="1"/>
  <c r="AA340" i="5"/>
  <c r="AA341" i="5" s="1"/>
  <c r="AA120" i="5" s="1"/>
  <c r="AA624" i="5" s="1"/>
  <c r="AA626" i="5" s="1"/>
  <c r="AA356" i="5"/>
  <c r="L242" i="5"/>
  <c r="L124" i="5" s="1"/>
  <c r="L251" i="5" s="1"/>
  <c r="L255" i="5" s="1"/>
  <c r="L1" i="5" s="1"/>
  <c r="L137" i="5"/>
  <c r="W555" i="5"/>
  <c r="W556" i="5"/>
  <c r="W628" i="5"/>
  <c r="AE193" i="2"/>
  <c r="AE154" i="2"/>
  <c r="Q243" i="6" l="1"/>
  <c r="L126" i="5"/>
  <c r="L128" i="5" s="1"/>
  <c r="J83" i="6" s="1"/>
  <c r="AA300" i="5"/>
  <c r="AA304" i="5" s="1"/>
  <c r="AB352" i="5"/>
  <c r="Q195" i="2"/>
  <c r="Q333" i="2"/>
  <c r="Q156" i="2"/>
  <c r="Q335" i="2"/>
  <c r="D632" i="5"/>
  <c r="X625" i="5"/>
  <c r="AE156" i="2"/>
  <c r="AE333" i="2"/>
  <c r="AE195" i="2"/>
  <c r="AE335" i="2"/>
  <c r="L471" i="5" l="1"/>
  <c r="L470" i="5" s="1"/>
  <c r="L272" i="5"/>
  <c r="L387" i="5" s="1"/>
  <c r="L388" i="5" s="1"/>
  <c r="L392" i="5" s="1"/>
  <c r="L268" i="5" s="1"/>
  <c r="L276" i="5" s="1"/>
  <c r="L280" i="5" s="1"/>
  <c r="L283" i="5" s="1"/>
  <c r="L138" i="5"/>
  <c r="L146" i="5"/>
  <c r="Q315" i="2"/>
  <c r="Q377" i="2"/>
  <c r="AB340" i="5"/>
  <c r="AB341" i="5" s="1"/>
  <c r="AB120" i="5" s="1"/>
  <c r="AB624" i="5" s="1"/>
  <c r="AB626" i="5" s="1"/>
  <c r="AB356" i="5"/>
  <c r="L393" i="5"/>
  <c r="L160" i="5"/>
  <c r="L473" i="5"/>
  <c r="X627" i="5"/>
  <c r="X629" i="5" s="1"/>
  <c r="X630" i="5" s="1"/>
  <c r="X550" i="5" s="1"/>
  <c r="X554" i="5" s="1"/>
  <c r="AE315" i="2"/>
  <c r="AE377" i="2"/>
  <c r="L157" i="5" l="1"/>
  <c r="L149" i="5"/>
  <c r="AC352" i="5"/>
  <c r="AB300" i="5"/>
  <c r="AB304" i="5" s="1"/>
  <c r="M391" i="5"/>
  <c r="L405" i="5"/>
  <c r="L411" i="5" s="1"/>
  <c r="M412" i="5" s="1"/>
  <c r="L308" i="5"/>
  <c r="J177" i="6"/>
  <c r="L289" i="5"/>
  <c r="L284" i="5"/>
  <c r="M279" i="5"/>
  <c r="M385" i="5" s="1"/>
  <c r="X628" i="5"/>
  <c r="Y625" i="5" s="1"/>
  <c r="X555" i="5"/>
  <c r="X556" i="5"/>
  <c r="L155" i="5" l="1"/>
  <c r="L169" i="5"/>
  <c r="L330" i="5"/>
  <c r="AC356" i="5"/>
  <c r="AC340" i="5"/>
  <c r="AC341" i="5" s="1"/>
  <c r="AC120" i="5" s="1"/>
  <c r="AC624" i="5" s="1"/>
  <c r="AC626" i="5" s="1"/>
  <c r="J185" i="6"/>
  <c r="K173" i="6"/>
  <c r="J194" i="6"/>
  <c r="J182" i="2" s="1"/>
  <c r="L417" i="5"/>
  <c r="M418" i="5" s="1"/>
  <c r="L431" i="5"/>
  <c r="L294" i="5"/>
  <c r="J214" i="6"/>
  <c r="J202" i="2" s="1"/>
  <c r="L430" i="5"/>
  <c r="L316" i="5"/>
  <c r="Y627" i="5"/>
  <c r="Y629" i="5" s="1"/>
  <c r="Y630" i="5" s="1"/>
  <c r="Y550" i="5" s="1"/>
  <c r="Y554" i="5" s="1"/>
  <c r="X202" i="2"/>
  <c r="X182" i="2"/>
  <c r="L333" i="5" l="1"/>
  <c r="J239" i="6" s="1"/>
  <c r="J236" i="6"/>
  <c r="J224" i="2" s="1"/>
  <c r="AC300" i="5"/>
  <c r="AC304" i="5" s="1"/>
  <c r="AD352" i="5"/>
  <c r="AD340" i="5" s="1"/>
  <c r="AD341" i="5" s="1"/>
  <c r="AD120" i="5" s="1"/>
  <c r="AD624" i="5" s="1"/>
  <c r="AD626" i="5" s="1"/>
  <c r="L433" i="5"/>
  <c r="J282" i="6" s="1"/>
  <c r="M424" i="5"/>
  <c r="J208" i="2"/>
  <c r="J381" i="2"/>
  <c r="L305" i="5"/>
  <c r="J210" i="6" s="1"/>
  <c r="J199" i="6"/>
  <c r="J242" i="6" s="1"/>
  <c r="L326" i="5"/>
  <c r="J222" i="6"/>
  <c r="J244" i="6" s="1"/>
  <c r="J281" i="2"/>
  <c r="J187" i="2"/>
  <c r="J232" i="2"/>
  <c r="Y555" i="5"/>
  <c r="Y556" i="5"/>
  <c r="Y628" i="5"/>
  <c r="Z625" i="5" s="1"/>
  <c r="X224" i="2"/>
  <c r="X281" i="2"/>
  <c r="X381" i="2"/>
  <c r="X187" i="2"/>
  <c r="X232" i="2"/>
  <c r="X208" i="2"/>
  <c r="AD356" i="5" l="1"/>
  <c r="AD300" i="5" s="1"/>
  <c r="AD304" i="5" s="1"/>
  <c r="J226" i="2"/>
  <c r="J246" i="6"/>
  <c r="M426" i="5"/>
  <c r="M121" i="5"/>
  <c r="M123" i="5" s="1"/>
  <c r="M9" i="8" s="1"/>
  <c r="CX9" i="8" s="1"/>
  <c r="M423" i="5"/>
  <c r="L436" i="5"/>
  <c r="L439" i="5" s="1"/>
  <c r="D559" i="5" s="1"/>
  <c r="D590" i="5" s="1"/>
  <c r="D593" i="5" s="1"/>
  <c r="D595" i="5" s="1"/>
  <c r="L442" i="5"/>
  <c r="J283" i="6" s="1"/>
  <c r="M250" i="5"/>
  <c r="K280" i="2"/>
  <c r="L334" i="5"/>
  <c r="L6" i="5" s="1"/>
  <c r="J232" i="6"/>
  <c r="J241" i="6" s="1"/>
  <c r="J285" i="6"/>
  <c r="L443" i="5"/>
  <c r="J286" i="6" s="1"/>
  <c r="J327" i="2"/>
  <c r="J336" i="2"/>
  <c r="J218" i="2"/>
  <c r="J197" i="2"/>
  <c r="Z627" i="5"/>
  <c r="Z629" i="5" s="1"/>
  <c r="Z630" i="5" s="1"/>
  <c r="Z550" i="5" s="1"/>
  <c r="Z554" i="5" s="1"/>
  <c r="Y280" i="2"/>
  <c r="X218" i="2"/>
  <c r="X226" i="2"/>
  <c r="X327" i="2"/>
  <c r="X197" i="2"/>
  <c r="X336" i="2"/>
  <c r="AE352" i="5" l="1"/>
  <c r="J228" i="2"/>
  <c r="AE340" i="5"/>
  <c r="AE341" i="5" s="1"/>
  <c r="AE120" i="5" s="1"/>
  <c r="AE624" i="5" s="1"/>
  <c r="AE626" i="5" s="1"/>
  <c r="AE356" i="5"/>
  <c r="M137" i="5"/>
  <c r="M242" i="5"/>
  <c r="M124" i="5" s="1"/>
  <c r="M251" i="5" s="1"/>
  <c r="M255" i="5" s="1"/>
  <c r="J198" i="2"/>
  <c r="J229" i="2"/>
  <c r="J231" i="2"/>
  <c r="J236" i="2"/>
  <c r="J323" i="2"/>
  <c r="J219" i="2"/>
  <c r="Z628" i="5"/>
  <c r="AA625" i="5" s="1"/>
  <c r="AA627" i="5" s="1"/>
  <c r="Z555" i="5"/>
  <c r="Z556" i="5"/>
  <c r="X231" i="2"/>
  <c r="X323" i="2"/>
  <c r="X236" i="2"/>
  <c r="X228" i="2"/>
  <c r="J325" i="2" l="1"/>
  <c r="J237" i="2"/>
  <c r="J326" i="2"/>
  <c r="J234" i="2"/>
  <c r="J308" i="2"/>
  <c r="J233" i="2"/>
  <c r="M126" i="5"/>
  <c r="M128" i="5" s="1"/>
  <c r="AF352" i="5"/>
  <c r="AE300" i="5"/>
  <c r="AE304" i="5" s="1"/>
  <c r="J319" i="2"/>
  <c r="AA629" i="5"/>
  <c r="AA630" i="5" s="1"/>
  <c r="AA550" i="5" s="1"/>
  <c r="AA554" i="5" s="1"/>
  <c r="AA556" i="5" s="1"/>
  <c r="AA628" i="5"/>
  <c r="AB625" i="5" s="1"/>
  <c r="AB627" i="5" s="1"/>
  <c r="AB629" i="5" s="1"/>
  <c r="AB630" i="5" s="1"/>
  <c r="AB550" i="5" s="1"/>
  <c r="AB554" i="5" s="1"/>
  <c r="X234" i="2"/>
  <c r="X326" i="2"/>
  <c r="X233" i="2"/>
  <c r="X237" i="2"/>
  <c r="X319" i="2"/>
  <c r="X325" i="2"/>
  <c r="X308" i="2"/>
  <c r="M471" i="5" l="1"/>
  <c r="M470" i="5" s="1"/>
  <c r="M138" i="5"/>
  <c r="J309" i="2"/>
  <c r="M146" i="5"/>
  <c r="M157" i="5" s="1"/>
  <c r="AF340" i="5"/>
  <c r="AF341" i="5" s="1"/>
  <c r="AF120" i="5" s="1"/>
  <c r="AF624" i="5" s="1"/>
  <c r="AF626" i="5" s="1"/>
  <c r="AF356" i="5"/>
  <c r="M272" i="5"/>
  <c r="M387" i="5" s="1"/>
  <c r="M388" i="5" s="1"/>
  <c r="M392" i="5" s="1"/>
  <c r="J320" i="2"/>
  <c r="J321" i="2"/>
  <c r="M473" i="5"/>
  <c r="M160" i="5"/>
  <c r="AA555" i="5"/>
  <c r="AB555" i="5"/>
  <c r="AB556" i="5"/>
  <c r="AB628" i="5"/>
  <c r="AC625" i="5" s="1"/>
  <c r="AC627" i="5" s="1"/>
  <c r="AC629" i="5" s="1"/>
  <c r="AC630" i="5" s="1"/>
  <c r="AC550" i="5" s="1"/>
  <c r="AC554" i="5" s="1"/>
  <c r="X320" i="2"/>
  <c r="X321" i="2"/>
  <c r="X309" i="2"/>
  <c r="M149" i="5" l="1"/>
  <c r="AF300" i="5"/>
  <c r="AF304" i="5" s="1"/>
  <c r="AG352" i="5"/>
  <c r="M268" i="5"/>
  <c r="M393" i="5"/>
  <c r="AC556" i="5"/>
  <c r="AC555" i="5"/>
  <c r="AC628" i="5"/>
  <c r="AD625" i="5" s="1"/>
  <c r="M155" i="5" l="1"/>
  <c r="M169" i="5"/>
  <c r="M330" i="5"/>
  <c r="M333" i="5" s="1"/>
  <c r="AG340" i="5"/>
  <c r="AG341" i="5" s="1"/>
  <c r="AG120" i="5" s="1"/>
  <c r="AG624" i="5" s="1"/>
  <c r="AG626" i="5" s="1"/>
  <c r="AG356" i="5"/>
  <c r="N391" i="5"/>
  <c r="M308" i="5"/>
  <c r="M405" i="5"/>
  <c r="M411" i="5" s="1"/>
  <c r="N412" i="5" s="1"/>
  <c r="M276" i="5"/>
  <c r="AD627" i="5"/>
  <c r="AD629" i="5" s="1"/>
  <c r="AD630" i="5" s="1"/>
  <c r="AD550" i="5" s="1"/>
  <c r="AD554" i="5" s="1"/>
  <c r="AG300" i="5" l="1"/>
  <c r="AG304" i="5" s="1"/>
  <c r="AH352" i="5"/>
  <c r="AH340" i="5" s="1"/>
  <c r="AH341" i="5" s="1"/>
  <c r="AH120" i="5" s="1"/>
  <c r="AH624" i="5" s="1"/>
  <c r="AH626" i="5" s="1"/>
  <c r="AH356" i="5"/>
  <c r="M280" i="5"/>
  <c r="M430" i="5"/>
  <c r="M316" i="5"/>
  <c r="M326" i="5" s="1"/>
  <c r="AD628" i="5"/>
  <c r="AE625" i="5" s="1"/>
  <c r="AD556" i="5"/>
  <c r="AD555" i="5"/>
  <c r="AH300" i="5" l="1"/>
  <c r="AH304" i="5" s="1"/>
  <c r="AI352" i="5"/>
  <c r="M283" i="5"/>
  <c r="AE627" i="5"/>
  <c r="AE629" i="5" s="1"/>
  <c r="AE630" i="5" s="1"/>
  <c r="AE550" i="5" s="1"/>
  <c r="AE554" i="5" s="1"/>
  <c r="AI340" i="5" l="1"/>
  <c r="AI341" i="5" s="1"/>
  <c r="AI120" i="5" s="1"/>
  <c r="AI624" i="5" s="1"/>
  <c r="AI626" i="5" s="1"/>
  <c r="AI356" i="5"/>
  <c r="M284" i="5"/>
  <c r="N279" i="5"/>
  <c r="N385" i="5" s="1"/>
  <c r="M289" i="5"/>
  <c r="AE628" i="5"/>
  <c r="AF625" i="5" s="1"/>
  <c r="AE555" i="5"/>
  <c r="AE556" i="5"/>
  <c r="AJ352" i="5" l="1"/>
  <c r="AJ340" i="5" s="1"/>
  <c r="AJ341" i="5" s="1"/>
  <c r="AJ120" i="5" s="1"/>
  <c r="AJ624" i="5" s="1"/>
  <c r="AJ626" i="5" s="1"/>
  <c r="AI300" i="5"/>
  <c r="AI304" i="5" s="1"/>
  <c r="AJ356" i="5"/>
  <c r="AK352" i="5" s="1"/>
  <c r="AK340" i="5" s="1"/>
  <c r="AK341" i="5" s="1"/>
  <c r="AK120" i="5" s="1"/>
  <c r="AK624" i="5" s="1"/>
  <c r="AK626" i="5" s="1"/>
  <c r="M431" i="5"/>
  <c r="M433" i="5" s="1"/>
  <c r="M417" i="5"/>
  <c r="N418" i="5" s="1"/>
  <c r="M294" i="5"/>
  <c r="M305" i="5" s="1"/>
  <c r="M334" i="5" s="1"/>
  <c r="M6" i="5" s="1"/>
  <c r="AF627" i="5"/>
  <c r="AF629" i="5" s="1"/>
  <c r="AF630" i="5" s="1"/>
  <c r="AF550" i="5" s="1"/>
  <c r="AF554" i="5" s="1"/>
  <c r="AK356" i="5" l="1"/>
  <c r="AK300" i="5" s="1"/>
  <c r="AK304" i="5" s="1"/>
  <c r="AJ300" i="5"/>
  <c r="AJ304" i="5" s="1"/>
  <c r="N424" i="5"/>
  <c r="M436" i="5"/>
  <c r="M439" i="5" s="1"/>
  <c r="M443" i="5" s="1"/>
  <c r="M442" i="5"/>
  <c r="AF628" i="5"/>
  <c r="AG625" i="5" s="1"/>
  <c r="AF555" i="5"/>
  <c r="AF556" i="5"/>
  <c r="AL352" i="5" l="1"/>
  <c r="AL340" i="5" s="1"/>
  <c r="AL341" i="5" s="1"/>
  <c r="AL120" i="5" s="1"/>
  <c r="AL624" i="5" s="1"/>
  <c r="AL626" i="5" s="1"/>
  <c r="N426" i="5"/>
  <c r="N121" i="5"/>
  <c r="K77" i="6" s="1"/>
  <c r="N423" i="5"/>
  <c r="AL356" i="5"/>
  <c r="AL300" i="5" s="1"/>
  <c r="AL304" i="5" s="1"/>
  <c r="K289" i="6"/>
  <c r="K291" i="6" s="1"/>
  <c r="N250" i="5"/>
  <c r="N123" i="5"/>
  <c r="AG627" i="5"/>
  <c r="AG629" i="5" s="1"/>
  <c r="AG630" i="5" s="1"/>
  <c r="AG550" i="5" s="1"/>
  <c r="AG554" i="5" s="1"/>
  <c r="Y158" i="2"/>
  <c r="K159" i="2" l="1"/>
  <c r="K103" i="6"/>
  <c r="K328" i="2"/>
  <c r="N9" i="8"/>
  <c r="CY9" i="8" s="1"/>
  <c r="N137" i="5"/>
  <c r="N242" i="5"/>
  <c r="N124" i="5" s="1"/>
  <c r="N251" i="5" s="1"/>
  <c r="N255" i="5" s="1"/>
  <c r="AG628" i="5"/>
  <c r="AH625" i="5" s="1"/>
  <c r="AG555" i="5"/>
  <c r="AG556" i="5"/>
  <c r="Y328" i="2"/>
  <c r="Y159" i="2"/>
  <c r="Y157" i="2"/>
  <c r="N126" i="5" l="1"/>
  <c r="N146" i="5" s="1"/>
  <c r="K152" i="6"/>
  <c r="K308" i="6" s="1"/>
  <c r="K310" i="6" s="1"/>
  <c r="K311" i="6" s="1"/>
  <c r="AH627" i="5"/>
  <c r="AH629" i="5" s="1"/>
  <c r="AH630" i="5" s="1"/>
  <c r="AH550" i="5" s="1"/>
  <c r="AH554" i="5" s="1"/>
  <c r="N471" i="5" l="1"/>
  <c r="N138" i="5"/>
  <c r="N128" i="5"/>
  <c r="K83" i="6" s="1"/>
  <c r="K109" i="6" s="1"/>
  <c r="K115" i="6"/>
  <c r="N157" i="5"/>
  <c r="K126" i="6" s="1"/>
  <c r="K297" i="2" s="1"/>
  <c r="N149" i="5"/>
  <c r="N470" i="5"/>
  <c r="N272" i="5"/>
  <c r="K162" i="2"/>
  <c r="AH628" i="5"/>
  <c r="AI625" i="5" s="1"/>
  <c r="AH556" i="5"/>
  <c r="AH555" i="5"/>
  <c r="Y162" i="2"/>
  <c r="Y297" i="2"/>
  <c r="D599" i="5" l="1"/>
  <c r="D601" i="5" s="1"/>
  <c r="K167" i="6"/>
  <c r="K269" i="2" s="1"/>
  <c r="N387" i="5"/>
  <c r="N388" i="5" s="1"/>
  <c r="N392" i="5" s="1"/>
  <c r="N473" i="5"/>
  <c r="N160" i="5"/>
  <c r="K129" i="6" s="1"/>
  <c r="K302" i="2" s="1"/>
  <c r="N155" i="5"/>
  <c r="K124" i="6" s="1"/>
  <c r="N169" i="5"/>
  <c r="N330" i="5"/>
  <c r="AI627" i="5"/>
  <c r="AI629" i="5" s="1"/>
  <c r="AI630" i="5" s="1"/>
  <c r="AI550" i="5" s="1"/>
  <c r="AI554" i="5" s="1"/>
  <c r="Y302" i="2"/>
  <c r="Y269" i="2"/>
  <c r="K236" i="6" l="1"/>
  <c r="K224" i="2" s="1"/>
  <c r="N333" i="5"/>
  <c r="K239" i="6" s="1"/>
  <c r="K303" i="2"/>
  <c r="K125" i="2"/>
  <c r="N268" i="5"/>
  <c r="N393" i="5"/>
  <c r="AI555" i="5"/>
  <c r="AI556" i="5"/>
  <c r="AI628" i="5"/>
  <c r="AJ625" i="5" s="1"/>
  <c r="Y224" i="2"/>
  <c r="Y303" i="2"/>
  <c r="Y125" i="2"/>
  <c r="N405" i="5" l="1"/>
  <c r="N411" i="5" s="1"/>
  <c r="O412" i="5" s="1"/>
  <c r="N308" i="5"/>
  <c r="O391" i="5"/>
  <c r="N276" i="5"/>
  <c r="K163" i="6"/>
  <c r="K267" i="2" s="1"/>
  <c r="K137" i="2" a="1"/>
  <c r="K137" i="2" s="1"/>
  <c r="K246" i="6"/>
  <c r="K226" i="2"/>
  <c r="AJ627" i="5"/>
  <c r="AJ629" i="5" s="1"/>
  <c r="AJ630" i="5" s="1"/>
  <c r="AJ550" i="5" s="1"/>
  <c r="AJ554" i="5" s="1"/>
  <c r="Y226" i="2"/>
  <c r="Y137" i="2"/>
  <c r="Y267" i="2"/>
  <c r="K228" i="2" l="1"/>
  <c r="N280" i="5"/>
  <c r="K171" i="6"/>
  <c r="K214" i="6"/>
  <c r="K202" i="2" s="1"/>
  <c r="N316" i="5"/>
  <c r="N430" i="5"/>
  <c r="K385" i="2"/>
  <c r="K272" i="2"/>
  <c r="AJ628" i="5"/>
  <c r="AK625" i="5" s="1"/>
  <c r="AK627" i="5" s="1"/>
  <c r="AK629" i="5" s="1"/>
  <c r="AK630" i="5" s="1"/>
  <c r="AK550" i="5" s="1"/>
  <c r="AK554" i="5" s="1"/>
  <c r="AK556" i="5" s="1"/>
  <c r="AJ555" i="5"/>
  <c r="AJ556" i="5"/>
  <c r="Y385" i="2"/>
  <c r="Y228" i="2"/>
  <c r="Y202" i="2"/>
  <c r="Y272" i="2"/>
  <c r="N326" i="5" l="1"/>
  <c r="K222" i="6"/>
  <c r="K244" i="6" s="1"/>
  <c r="K189" i="6"/>
  <c r="K273" i="2"/>
  <c r="K282" i="2"/>
  <c r="K381" i="2"/>
  <c r="K208" i="2"/>
  <c r="N283" i="5"/>
  <c r="K174" i="6"/>
  <c r="K191" i="6" s="1"/>
  <c r="K234" i="2"/>
  <c r="K308" i="2"/>
  <c r="K233" i="2"/>
  <c r="K237" i="2"/>
  <c r="AK628" i="5"/>
  <c r="AL625" i="5" s="1"/>
  <c r="AK555" i="5"/>
  <c r="Y308" i="2"/>
  <c r="Y237" i="2"/>
  <c r="Y234" i="2"/>
  <c r="Y208" i="2"/>
  <c r="Y233" i="2"/>
  <c r="Y381" i="2"/>
  <c r="K218" i="2" l="1"/>
  <c r="K177" i="6"/>
  <c r="N289" i="5"/>
  <c r="O279" i="5"/>
  <c r="O385" i="5" s="1"/>
  <c r="N284" i="5"/>
  <c r="K309" i="2"/>
  <c r="K232" i="6"/>
  <c r="K219" i="2" s="1"/>
  <c r="AL627" i="5"/>
  <c r="AL629" i="5" s="1"/>
  <c r="AL630" i="5" s="1"/>
  <c r="AL550" i="5" s="1"/>
  <c r="AL554" i="5" s="1"/>
  <c r="Y218" i="2"/>
  <c r="Y309" i="2"/>
  <c r="K194" i="6" l="1"/>
  <c r="K182" i="2" s="1"/>
  <c r="N431" i="5"/>
  <c r="N433" i="5" s="1"/>
  <c r="N294" i="5"/>
  <c r="N417" i="5"/>
  <c r="O418" i="5" s="1"/>
  <c r="K190" i="6"/>
  <c r="K185" i="6"/>
  <c r="L173" i="6"/>
  <c r="AL555" i="5"/>
  <c r="D555" i="5" s="1"/>
  <c r="AL556" i="5"/>
  <c r="D556" i="5" s="1"/>
  <c r="AL628" i="5"/>
  <c r="Y182" i="2"/>
  <c r="N305" i="5" l="1"/>
  <c r="K199" i="6"/>
  <c r="K242" i="6" s="1"/>
  <c r="O424" i="5"/>
  <c r="K282" i="6"/>
  <c r="N436" i="5"/>
  <c r="N439" i="5" s="1"/>
  <c r="N442" i="5"/>
  <c r="K283" i="6" s="1"/>
  <c r="K281" i="2"/>
  <c r="K232" i="2"/>
  <c r="K187" i="2"/>
  <c r="D558" i="5"/>
  <c r="D561" i="5" s="1"/>
  <c r="D564" i="5" s="1"/>
  <c r="D567" i="5" s="1"/>
  <c r="D607" i="5" s="1"/>
  <c r="Y281" i="2"/>
  <c r="Y232" i="2"/>
  <c r="Y187" i="2"/>
  <c r="O426" i="5" l="1"/>
  <c r="O121" i="5"/>
  <c r="O423" i="5"/>
  <c r="K197" i="2"/>
  <c r="K325" i="2"/>
  <c r="K327" i="2"/>
  <c r="K326" i="2"/>
  <c r="K336" i="2"/>
  <c r="N443" i="5"/>
  <c r="K286" i="6" s="1"/>
  <c r="K285" i="6"/>
  <c r="O250" i="5"/>
  <c r="O123" i="5"/>
  <c r="L280" i="2"/>
  <c r="G12" i="10"/>
  <c r="G14" i="10" s="1"/>
  <c r="E16" i="1"/>
  <c r="E17" i="1" s="1"/>
  <c r="D13" i="2"/>
  <c r="K210" i="6"/>
  <c r="N334" i="5"/>
  <c r="N6" i="5" s="1"/>
  <c r="D611" i="5"/>
  <c r="C7" i="5"/>
  <c r="Y326" i="2"/>
  <c r="Y325" i="2"/>
  <c r="Z280" i="2"/>
  <c r="Y197" i="2"/>
  <c r="Y327" i="2"/>
  <c r="R13" i="2"/>
  <c r="Y336" i="2"/>
  <c r="D21" i="2" l="1"/>
  <c r="O9" i="8"/>
  <c r="CZ9" i="8" s="1"/>
  <c r="O242" i="5"/>
  <c r="O124" i="5" s="1"/>
  <c r="O126" i="5" s="1"/>
  <c r="O137" i="5"/>
  <c r="K241" i="6"/>
  <c r="K198" i="2"/>
  <c r="K231" i="2"/>
  <c r="K229" i="2"/>
  <c r="K236" i="2"/>
  <c r="K323" i="2"/>
  <c r="Y231" i="2"/>
  <c r="Y236" i="2"/>
  <c r="R21" i="2"/>
  <c r="Y323" i="2"/>
  <c r="K319" i="2" l="1"/>
  <c r="O128" i="5"/>
  <c r="O146" i="5"/>
  <c r="O471" i="5"/>
  <c r="O138" i="5"/>
  <c r="O251" i="5"/>
  <c r="D23" i="2"/>
  <c r="Y319" i="2"/>
  <c r="R23" i="2"/>
  <c r="O255" i="5" l="1"/>
  <c r="O272" i="5"/>
  <c r="O470" i="5"/>
  <c r="O149" i="5"/>
  <c r="O157" i="5"/>
  <c r="K321" i="2"/>
  <c r="K320" i="2"/>
  <c r="Y321" i="2"/>
  <c r="Y320" i="2"/>
  <c r="O160" i="5" l="1"/>
  <c r="O473" i="5"/>
  <c r="O387" i="5"/>
  <c r="O388" i="5" s="1"/>
  <c r="O392" i="5" s="1"/>
  <c r="O155" i="5"/>
  <c r="O169" i="5"/>
  <c r="O330" i="5"/>
  <c r="O333" i="5" l="1"/>
  <c r="O268" i="5"/>
  <c r="O393" i="5"/>
  <c r="O405" i="5" l="1"/>
  <c r="O411" i="5" s="1"/>
  <c r="P412" i="5" s="1"/>
  <c r="O308" i="5"/>
  <c r="P391" i="5"/>
  <c r="O276" i="5"/>
  <c r="O280" i="5" l="1"/>
  <c r="O430" i="5"/>
  <c r="O316" i="5"/>
  <c r="O326" i="5" s="1"/>
  <c r="O283" i="5" l="1"/>
  <c r="O289" i="5" l="1"/>
  <c r="P279" i="5"/>
  <c r="P385" i="5" s="1"/>
  <c r="O284" i="5"/>
  <c r="O294" i="5" l="1"/>
  <c r="O305" i="5" s="1"/>
  <c r="O334" i="5" s="1"/>
  <c r="O6" i="5" s="1"/>
  <c r="O417" i="5"/>
  <c r="P418" i="5" s="1"/>
  <c r="O431" i="5"/>
  <c r="O433" i="5" s="1"/>
  <c r="O436" i="5" l="1"/>
  <c r="O439" i="5" s="1"/>
  <c r="O443" i="5" s="1"/>
  <c r="O442" i="5"/>
  <c r="P424" i="5"/>
  <c r="P426" i="5" l="1"/>
  <c r="P121" i="5"/>
  <c r="L77" i="6" s="1"/>
  <c r="P423" i="5"/>
  <c r="P250" i="5"/>
  <c r="L147" i="6" s="1"/>
  <c r="L247" i="2" s="1"/>
  <c r="L289" i="6"/>
  <c r="L291" i="6" s="1"/>
  <c r="P123" i="5"/>
  <c r="Z247" i="2"/>
  <c r="Z158" i="2"/>
  <c r="L159" i="2" l="1"/>
  <c r="L103" i="6"/>
  <c r="L328" i="2"/>
  <c r="P9" i="8"/>
  <c r="DA9" i="8" s="1"/>
  <c r="P242" i="5"/>
  <c r="P124" i="5" s="1"/>
  <c r="P126" i="5" s="1"/>
  <c r="P137" i="5"/>
  <c r="L79" i="6"/>
  <c r="L105" i="6" s="1"/>
  <c r="Z328" i="2"/>
  <c r="Z159" i="2"/>
  <c r="Z157" i="2"/>
  <c r="P251" i="5" l="1"/>
  <c r="L80" i="6"/>
  <c r="P146" i="5"/>
  <c r="P128" i="5"/>
  <c r="L83" i="6" s="1"/>
  <c r="L109" i="6" s="1"/>
  <c r="P471" i="5"/>
  <c r="P138" i="5"/>
  <c r="L82" i="6"/>
  <c r="I9" i="9" l="1"/>
  <c r="BD9" i="9" s="1"/>
  <c r="F10" i="17"/>
  <c r="L163" i="2"/>
  <c r="L106" i="6"/>
  <c r="P255" i="5"/>
  <c r="L148" i="6"/>
  <c r="L248" i="2" s="1"/>
  <c r="L108" i="6"/>
  <c r="L277" i="6"/>
  <c r="I9" i="10"/>
  <c r="I11" i="10" s="1"/>
  <c r="P272" i="5"/>
  <c r="L167" i="6" s="1"/>
  <c r="L269" i="2" s="1"/>
  <c r="P470" i="5"/>
  <c r="P149" i="5"/>
  <c r="P157" i="5"/>
  <c r="L126" i="6" s="1"/>
  <c r="L297" i="2" s="1"/>
  <c r="L115" i="6"/>
  <c r="L162" i="2"/>
  <c r="Z248" i="2"/>
  <c r="Z297" i="2"/>
  <c r="Z269" i="2"/>
  <c r="Z162" i="2"/>
  <c r="Z163" i="2"/>
  <c r="L165" i="2" l="1"/>
  <c r="P160" i="5"/>
  <c r="L129" i="6" s="1"/>
  <c r="L302" i="2" s="1"/>
  <c r="P473" i="5"/>
  <c r="P387" i="5"/>
  <c r="P388" i="5" s="1"/>
  <c r="P392" i="5" s="1"/>
  <c r="L152" i="6"/>
  <c r="L308" i="6" s="1"/>
  <c r="L310" i="6" s="1"/>
  <c r="L311" i="6" s="1"/>
  <c r="P155" i="5"/>
  <c r="L124" i="6" s="1"/>
  <c r="P169" i="5"/>
  <c r="L118" i="6"/>
  <c r="P330" i="5"/>
  <c r="L249" i="2"/>
  <c r="L306" i="2"/>
  <c r="Z302" i="2"/>
  <c r="Z306" i="2"/>
  <c r="Z165" i="2"/>
  <c r="Z249" i="2"/>
  <c r="L236" i="6" l="1"/>
  <c r="L224" i="2" s="1"/>
  <c r="P333" i="5"/>
  <c r="L278" i="2"/>
  <c r="L125" i="2"/>
  <c r="L303" i="2"/>
  <c r="L181" i="6"/>
  <c r="L187" i="6"/>
  <c r="L250" i="2"/>
  <c r="P268" i="5"/>
  <c r="P393" i="5"/>
  <c r="L167" i="2"/>
  <c r="Z303" i="2"/>
  <c r="Z167" i="2"/>
  <c r="Z224" i="2"/>
  <c r="Z278" i="2"/>
  <c r="Z125" i="2"/>
  <c r="P276" i="5" l="1"/>
  <c r="L163" i="6"/>
  <c r="L267" i="2" s="1"/>
  <c r="L169" i="2"/>
  <c r="L137" i="2" a="1"/>
  <c r="L137" i="2" s="1"/>
  <c r="L307" i="2"/>
  <c r="L239" i="6"/>
  <c r="L246" i="6" s="1"/>
  <c r="P405" i="5"/>
  <c r="P411" i="5" s="1"/>
  <c r="Q412" i="5" s="1"/>
  <c r="P308" i="5"/>
  <c r="Q391" i="5"/>
  <c r="L226" i="2"/>
  <c r="Z267" i="2"/>
  <c r="Z137" i="2"/>
  <c r="Z307" i="2"/>
  <c r="Z226" i="2"/>
  <c r="Z169" i="2"/>
  <c r="L228" i="2" l="1"/>
  <c r="L214" i="6"/>
  <c r="L202" i="2" s="1"/>
  <c r="P430" i="5"/>
  <c r="P316" i="5"/>
  <c r="L296" i="2"/>
  <c r="L316" i="2"/>
  <c r="L172" i="2"/>
  <c r="L322" i="2"/>
  <c r="L385" i="2"/>
  <c r="L272" i="2"/>
  <c r="P280" i="5"/>
  <c r="L171" i="6"/>
  <c r="Z385" i="2"/>
  <c r="Z296" i="2"/>
  <c r="Z322" i="2"/>
  <c r="Z272" i="2"/>
  <c r="Z228" i="2"/>
  <c r="Z172" i="2"/>
  <c r="Z202" i="2"/>
  <c r="Z316" i="2"/>
  <c r="L276" i="2" l="1"/>
  <c r="P283" i="5"/>
  <c r="L174" i="6"/>
  <c r="P326" i="5"/>
  <c r="L222" i="6"/>
  <c r="L244" i="6" s="1"/>
  <c r="L282" i="2"/>
  <c r="L273" i="2"/>
  <c r="L183" i="6"/>
  <c r="L189" i="6"/>
  <c r="L176" i="2"/>
  <c r="L381" i="2"/>
  <c r="L208" i="2"/>
  <c r="L234" i="2"/>
  <c r="L233" i="2"/>
  <c r="L308" i="2"/>
  <c r="L237" i="2"/>
  <c r="Z276" i="2"/>
  <c r="Z381" i="2"/>
  <c r="Z237" i="2"/>
  <c r="Z176" i="2"/>
  <c r="Z308" i="2"/>
  <c r="Z233" i="2"/>
  <c r="Z208" i="2"/>
  <c r="Z234" i="2"/>
  <c r="L218" i="2" l="1"/>
  <c r="L298" i="2"/>
  <c r="L177" i="2"/>
  <c r="L309" i="2"/>
  <c r="L232" i="6"/>
  <c r="L219" i="2" s="1"/>
  <c r="L177" i="6"/>
  <c r="Q279" i="5"/>
  <c r="Q385" i="5" s="1"/>
  <c r="P289" i="5"/>
  <c r="P284" i="5"/>
  <c r="L191" i="6"/>
  <c r="L184" i="6"/>
  <c r="Z218" i="2"/>
  <c r="Z298" i="2"/>
  <c r="Z309" i="2"/>
  <c r="L185" i="6" l="1"/>
  <c r="M173" i="6"/>
  <c r="L190" i="6"/>
  <c r="L124" i="2"/>
  <c r="L300" i="2"/>
  <c r="L194" i="6"/>
  <c r="L182" i="2" s="1"/>
  <c r="P294" i="5"/>
  <c r="P431" i="5"/>
  <c r="P433" i="5" s="1"/>
  <c r="P417" i="5"/>
  <c r="Q418" i="5" s="1"/>
  <c r="Z124" i="2"/>
  <c r="Z182" i="2"/>
  <c r="Z300" i="2"/>
  <c r="P305" i="5" l="1"/>
  <c r="L199" i="6"/>
  <c r="L242" i="6" s="1"/>
  <c r="Q424" i="5"/>
  <c r="L282" i="6"/>
  <c r="P442" i="5"/>
  <c r="L283" i="6" s="1"/>
  <c r="P436" i="5"/>
  <c r="P439" i="5" s="1"/>
  <c r="L187" i="2"/>
  <c r="L281" i="2"/>
  <c r="L232" i="2"/>
  <c r="L136" i="2" a="1"/>
  <c r="L136" i="2" s="1"/>
  <c r="Z187" i="2"/>
  <c r="Z232" i="2"/>
  <c r="Z136" i="2"/>
  <c r="Z281" i="2"/>
  <c r="Q426" i="5" l="1"/>
  <c r="Q121" i="5"/>
  <c r="Q123" i="5" s="1"/>
  <c r="Q423" i="5"/>
  <c r="L197" i="2"/>
  <c r="L326" i="2"/>
  <c r="L327" i="2"/>
  <c r="L325" i="2"/>
  <c r="L336" i="2"/>
  <c r="M280" i="2"/>
  <c r="P443" i="5"/>
  <c r="L286" i="6" s="1"/>
  <c r="L285" i="6"/>
  <c r="Q250" i="5"/>
  <c r="L210" i="6"/>
  <c r="P334" i="5"/>
  <c r="P6" i="5" s="1"/>
  <c r="Z325" i="2"/>
  <c r="Z336" i="2"/>
  <c r="Z326" i="2"/>
  <c r="AA280" i="2"/>
  <c r="Z197" i="2"/>
  <c r="Z327" i="2"/>
  <c r="L198" i="2" l="1"/>
  <c r="L241" i="6"/>
  <c r="Q9" i="8"/>
  <c r="DB9" i="8" s="1"/>
  <c r="Q137" i="5"/>
  <c r="Q242" i="5"/>
  <c r="Q124" i="5" s="1"/>
  <c r="Q126" i="5" s="1"/>
  <c r="L229" i="2"/>
  <c r="L231" i="2"/>
  <c r="L323" i="2"/>
  <c r="L236" i="2"/>
  <c r="Z231" i="2"/>
  <c r="Z236" i="2"/>
  <c r="Z323" i="2"/>
  <c r="L319" i="2" l="1"/>
  <c r="Q471" i="5"/>
  <c r="Q146" i="5"/>
  <c r="Q138" i="5"/>
  <c r="Q128" i="5"/>
  <c r="Q251" i="5"/>
  <c r="Z319" i="2"/>
  <c r="Q255" i="5" l="1"/>
  <c r="Q272" i="5"/>
  <c r="Q470" i="5"/>
  <c r="Q149" i="5"/>
  <c r="Q157" i="5"/>
  <c r="L320" i="2"/>
  <c r="L321" i="2"/>
  <c r="Z320" i="2"/>
  <c r="Z321" i="2"/>
  <c r="Q169" i="5" l="1"/>
  <c r="Q155" i="5"/>
  <c r="Q330" i="5"/>
  <c r="Q160" i="5"/>
  <c r="Q473" i="5"/>
  <c r="Q387" i="5"/>
  <c r="Q388" i="5" s="1"/>
  <c r="Q392" i="5" s="1"/>
  <c r="Q268" i="5" l="1"/>
  <c r="Q393" i="5"/>
  <c r="Q333" i="5"/>
  <c r="R391" i="5" l="1"/>
  <c r="Q308" i="5"/>
  <c r="Q405" i="5"/>
  <c r="Q411" i="5" s="1"/>
  <c r="R412" i="5" s="1"/>
  <c r="Q276" i="5"/>
  <c r="Q280" i="5" l="1"/>
  <c r="Q430" i="5"/>
  <c r="Q316" i="5"/>
  <c r="Q326" i="5" s="1"/>
  <c r="Q283" i="5" l="1"/>
  <c r="Q284" i="5" l="1"/>
  <c r="Q289" i="5"/>
  <c r="R279" i="5"/>
  <c r="R385" i="5" s="1"/>
  <c r="Q294" i="5" l="1"/>
  <c r="Q305" i="5" s="1"/>
  <c r="Q334" i="5" s="1"/>
  <c r="Q6" i="5" s="1"/>
  <c r="Q431" i="5"/>
  <c r="Q433" i="5" s="1"/>
  <c r="Q417" i="5"/>
  <c r="R418" i="5" s="1"/>
  <c r="R424" i="5" l="1"/>
  <c r="Q442" i="5"/>
  <c r="Q436" i="5"/>
  <c r="Q439" i="5" s="1"/>
  <c r="Q443" i="5" s="1"/>
  <c r="R426" i="5" l="1"/>
  <c r="R121" i="5"/>
  <c r="M77" i="6" s="1"/>
  <c r="R423" i="5"/>
  <c r="R250" i="5"/>
  <c r="M147" i="6" s="1"/>
  <c r="M247" i="2" s="1"/>
  <c r="M289" i="6"/>
  <c r="M291" i="6" s="1"/>
  <c r="R123" i="5"/>
  <c r="AA247" i="2"/>
  <c r="AA158" i="2"/>
  <c r="M159" i="2" l="1"/>
  <c r="M103" i="6"/>
  <c r="M328" i="2"/>
  <c r="R9" i="8"/>
  <c r="DC9" i="8" s="1"/>
  <c r="R242" i="5"/>
  <c r="R124" i="5" s="1"/>
  <c r="R126" i="5" s="1"/>
  <c r="R137" i="5"/>
  <c r="M79" i="6"/>
  <c r="M105" i="6" s="1"/>
  <c r="AA159" i="2"/>
  <c r="AA328" i="2"/>
  <c r="AA157" i="2"/>
  <c r="R128" i="5" l="1"/>
  <c r="M83" i="6" s="1"/>
  <c r="M109" i="6" s="1"/>
  <c r="R138" i="5"/>
  <c r="R146" i="5"/>
  <c r="R471" i="5"/>
  <c r="M82" i="6"/>
  <c r="J9" i="9" s="1"/>
  <c r="BE9" i="9" s="1"/>
  <c r="R251" i="5"/>
  <c r="M80" i="6"/>
  <c r="M163" i="2" l="1"/>
  <c r="M106" i="6"/>
  <c r="R255" i="5"/>
  <c r="M148" i="6"/>
  <c r="M248" i="2" s="1"/>
  <c r="M108" i="6"/>
  <c r="J9" i="10"/>
  <c r="J11" i="10" s="1"/>
  <c r="M277" i="6"/>
  <c r="R470" i="5"/>
  <c r="R272" i="5"/>
  <c r="M167" i="6" s="1"/>
  <c r="M269" i="2" s="1"/>
  <c r="R149" i="5"/>
  <c r="R157" i="5"/>
  <c r="M126" i="6" s="1"/>
  <c r="M297" i="2" s="1"/>
  <c r="M115" i="6"/>
  <c r="M162" i="2"/>
  <c r="AA269" i="2"/>
  <c r="AA162" i="2"/>
  <c r="AA163" i="2"/>
  <c r="AA297" i="2"/>
  <c r="AA248" i="2"/>
  <c r="M165" i="2" l="1"/>
  <c r="R160" i="5"/>
  <c r="M129" i="6" s="1"/>
  <c r="M302" i="2" s="1"/>
  <c r="R473" i="5"/>
  <c r="R169" i="5"/>
  <c r="R155" i="5"/>
  <c r="M124" i="6" s="1"/>
  <c r="M118" i="6"/>
  <c r="R330" i="5"/>
  <c r="R387" i="5"/>
  <c r="R388" i="5" s="1"/>
  <c r="R392" i="5" s="1"/>
  <c r="M152" i="6"/>
  <c r="M308" i="6" s="1"/>
  <c r="M310" i="6" s="1"/>
  <c r="M311" i="6" s="1"/>
  <c r="M249" i="2"/>
  <c r="M306" i="2"/>
  <c r="AA302" i="2"/>
  <c r="AA249" i="2"/>
  <c r="AA306" i="2"/>
  <c r="AA165" i="2"/>
  <c r="M278" i="2" l="1"/>
  <c r="R268" i="5"/>
  <c r="R393" i="5"/>
  <c r="M187" i="6"/>
  <c r="M181" i="6"/>
  <c r="M250" i="2"/>
  <c r="R333" i="5"/>
  <c r="M303" i="2"/>
  <c r="M125" i="2"/>
  <c r="M167" i="2"/>
  <c r="AA278" i="2"/>
  <c r="AA125" i="2"/>
  <c r="AA303" i="2"/>
  <c r="AA167" i="2"/>
  <c r="M169" i="2" l="1"/>
  <c r="M137" i="2" a="1"/>
  <c r="M137" i="2" s="1"/>
  <c r="M239" i="6"/>
  <c r="R308" i="5"/>
  <c r="R405" i="5"/>
  <c r="R411" i="5" s="1"/>
  <c r="S412" i="5" s="1"/>
  <c r="S391" i="5"/>
  <c r="R276" i="5"/>
  <c r="M163" i="6"/>
  <c r="M267" i="2" s="1"/>
  <c r="M307" i="2"/>
  <c r="AA169" i="2"/>
  <c r="AA307" i="2"/>
  <c r="AA137" i="2"/>
  <c r="AA267" i="2"/>
  <c r="R280" i="5" l="1"/>
  <c r="M171" i="6"/>
  <c r="M272" i="2"/>
  <c r="M385" i="2"/>
  <c r="M214" i="6"/>
  <c r="M202" i="2" s="1"/>
  <c r="R430" i="5"/>
  <c r="R316" i="5"/>
  <c r="M296" i="2"/>
  <c r="M172" i="2"/>
  <c r="M316" i="2"/>
  <c r="AA385" i="2"/>
  <c r="AA296" i="2"/>
  <c r="AA202" i="2"/>
  <c r="AA172" i="2"/>
  <c r="AA316" i="2"/>
  <c r="AA272" i="2"/>
  <c r="M208" i="2" l="1"/>
  <c r="M381" i="2"/>
  <c r="M276" i="2"/>
  <c r="M176" i="2"/>
  <c r="R326" i="5"/>
  <c r="M222" i="6"/>
  <c r="M244" i="6" s="1"/>
  <c r="M183" i="6"/>
  <c r="M282" i="2"/>
  <c r="M273" i="2"/>
  <c r="M189" i="6"/>
  <c r="R283" i="5"/>
  <c r="M174" i="6"/>
  <c r="AA276" i="2"/>
  <c r="AA208" i="2"/>
  <c r="AA381" i="2"/>
  <c r="AA176" i="2"/>
  <c r="M191" i="6" l="1"/>
  <c r="M184" i="6"/>
  <c r="R289" i="5"/>
  <c r="S279" i="5"/>
  <c r="S385" i="5" s="1"/>
  <c r="R284" i="5"/>
  <c r="M232" i="6"/>
  <c r="M298" i="2"/>
  <c r="M177" i="2"/>
  <c r="M218" i="2"/>
  <c r="AA298" i="2"/>
  <c r="AA218" i="2"/>
  <c r="M300" i="2" l="1"/>
  <c r="M299" i="2"/>
  <c r="M124" i="2"/>
  <c r="M219" i="2"/>
  <c r="M194" i="6"/>
  <c r="M182" i="2" s="1"/>
  <c r="R431" i="5"/>
  <c r="R433" i="5" s="1"/>
  <c r="R417" i="5"/>
  <c r="S418" i="5" s="1"/>
  <c r="R294" i="5"/>
  <c r="R305" i="5" s="1"/>
  <c r="AA300" i="2"/>
  <c r="AA124" i="2"/>
  <c r="AA182" i="2"/>
  <c r="AA299" i="2"/>
  <c r="M210" i="6" l="1"/>
  <c r="R334" i="5"/>
  <c r="R6" i="5" s="1"/>
  <c r="S424" i="5"/>
  <c r="R436" i="5"/>
  <c r="R439" i="5" s="1"/>
  <c r="R442" i="5"/>
  <c r="M187" i="2"/>
  <c r="M281" i="2"/>
  <c r="M232" i="2"/>
  <c r="M136" i="2" a="1"/>
  <c r="M136" i="2" s="1"/>
  <c r="M301" i="2"/>
  <c r="AA281" i="2"/>
  <c r="AA187" i="2"/>
  <c r="AA232" i="2"/>
  <c r="AA136" i="2"/>
  <c r="AA301" i="2"/>
  <c r="S426" i="5" l="1"/>
  <c r="S121" i="5"/>
  <c r="S123" i="5" s="1"/>
  <c r="S423" i="5"/>
  <c r="N280" i="2"/>
  <c r="M327" i="2"/>
  <c r="M336" i="2"/>
  <c r="R443" i="5"/>
  <c r="M285" i="6"/>
  <c r="S250" i="5"/>
  <c r="M197" i="2"/>
  <c r="M241" i="6"/>
  <c r="AA336" i="2"/>
  <c r="AB280" i="2"/>
  <c r="AA197" i="2"/>
  <c r="AA327" i="2"/>
  <c r="M198" i="2" l="1"/>
  <c r="M231" i="2"/>
  <c r="M236" i="2"/>
  <c r="M323" i="2"/>
  <c r="S137" i="5"/>
  <c r="S9" i="8"/>
  <c r="DD9" i="8" s="1"/>
  <c r="S242" i="5"/>
  <c r="S124" i="5" s="1"/>
  <c r="AA236" i="2"/>
  <c r="AA231" i="2"/>
  <c r="AA323" i="2"/>
  <c r="S251" i="5" l="1"/>
  <c r="S126" i="5"/>
  <c r="M319" i="2"/>
  <c r="AA319" i="2"/>
  <c r="S138" i="5" l="1"/>
  <c r="S471" i="5"/>
  <c r="S146" i="5"/>
  <c r="S128" i="5"/>
  <c r="S255" i="5"/>
  <c r="M320" i="2"/>
  <c r="M321" i="2"/>
  <c r="AA320" i="2"/>
  <c r="AA321" i="2"/>
  <c r="S272" i="5" l="1"/>
  <c r="S470" i="5"/>
  <c r="S157" i="5"/>
  <c r="S149" i="5"/>
  <c r="S155" i="5" l="1"/>
  <c r="S169" i="5"/>
  <c r="S330" i="5"/>
  <c r="S473" i="5"/>
  <c r="S160" i="5"/>
  <c r="S387" i="5"/>
  <c r="S388" i="5" s="1"/>
  <c r="S392" i="5" s="1"/>
  <c r="S268" i="5" l="1"/>
  <c r="S393" i="5"/>
  <c r="S333" i="5"/>
  <c r="T391" i="5" l="1"/>
  <c r="S308" i="5"/>
  <c r="S405" i="5"/>
  <c r="S411" i="5" s="1"/>
  <c r="T412" i="5" s="1"/>
  <c r="S276" i="5"/>
  <c r="S280" i="5" l="1"/>
  <c r="S430" i="5"/>
  <c r="S316" i="5"/>
  <c r="S326" i="5" s="1"/>
  <c r="S283" i="5" l="1"/>
  <c r="S289" i="5" l="1"/>
  <c r="S284" i="5"/>
  <c r="T279" i="5"/>
  <c r="T385" i="5" s="1"/>
  <c r="S294" i="5" l="1"/>
  <c r="S305" i="5" s="1"/>
  <c r="S334" i="5" s="1"/>
  <c r="S6" i="5" s="1"/>
  <c r="S417" i="5"/>
  <c r="T418" i="5" s="1"/>
  <c r="S431" i="5"/>
  <c r="S433" i="5" s="1"/>
  <c r="S442" i="5" l="1"/>
  <c r="S436" i="5"/>
  <c r="S439" i="5" s="1"/>
  <c r="S443" i="5" s="1"/>
  <c r="T424" i="5"/>
  <c r="T426" i="5" l="1"/>
  <c r="T121" i="5"/>
  <c r="N77" i="6" s="1"/>
  <c r="T423" i="5"/>
  <c r="T250" i="5"/>
  <c r="N147" i="6" s="1"/>
  <c r="N247" i="2" s="1"/>
  <c r="N289" i="6"/>
  <c r="N291" i="6" s="1"/>
  <c r="T123" i="5"/>
  <c r="AB158" i="2"/>
  <c r="AB247" i="2"/>
  <c r="N159" i="2" l="1"/>
  <c r="N103" i="6"/>
  <c r="N328" i="2"/>
  <c r="T9" i="8"/>
  <c r="DE9" i="8" s="1"/>
  <c r="T242" i="5"/>
  <c r="T124" i="5" s="1"/>
  <c r="T126" i="5" s="1"/>
  <c r="T137" i="5"/>
  <c r="N79" i="6"/>
  <c r="N105" i="6" s="1"/>
  <c r="AB157" i="2"/>
  <c r="AB159" i="2"/>
  <c r="AB328" i="2"/>
  <c r="T251" i="5" l="1"/>
  <c r="N80" i="6"/>
  <c r="T128" i="5"/>
  <c r="N83" i="6" s="1"/>
  <c r="N109" i="6" s="1"/>
  <c r="T138" i="5"/>
  <c r="T146" i="5"/>
  <c r="T471" i="5"/>
  <c r="N82" i="6"/>
  <c r="K9" i="10" l="1"/>
  <c r="K11" i="10" s="1"/>
  <c r="K9" i="9"/>
  <c r="BF9" i="9" s="1"/>
  <c r="N162" i="2"/>
  <c r="T157" i="5"/>
  <c r="N126" i="6" s="1"/>
  <c r="N297" i="2" s="1"/>
  <c r="T149" i="5"/>
  <c r="N115" i="6"/>
  <c r="N277" i="6"/>
  <c r="N108" i="6"/>
  <c r="N163" i="2"/>
  <c r="N106" i="6"/>
  <c r="T272" i="5"/>
  <c r="N167" i="6" s="1"/>
  <c r="N269" i="2" s="1"/>
  <c r="T470" i="5"/>
  <c r="T255" i="5"/>
  <c r="N148" i="6"/>
  <c r="N248" i="2" s="1"/>
  <c r="AB269" i="2"/>
  <c r="AB297" i="2"/>
  <c r="AB248" i="2"/>
  <c r="AB162" i="2"/>
  <c r="AB163" i="2"/>
  <c r="N249" i="2" l="1"/>
  <c r="N306" i="2"/>
  <c r="T169" i="5"/>
  <c r="T155" i="5"/>
  <c r="N124" i="6" s="1"/>
  <c r="N118" i="6"/>
  <c r="T330" i="5"/>
  <c r="T387" i="5"/>
  <c r="T388" i="5" s="1"/>
  <c r="T392" i="5" s="1"/>
  <c r="N152" i="6"/>
  <c r="N308" i="6" s="1"/>
  <c r="N310" i="6" s="1"/>
  <c r="N311" i="6" s="1"/>
  <c r="T160" i="5"/>
  <c r="N129" i="6" s="1"/>
  <c r="N302" i="2" s="1"/>
  <c r="T473" i="5"/>
  <c r="N165" i="2"/>
  <c r="AB302" i="2"/>
  <c r="AB306" i="2"/>
  <c r="AB249" i="2"/>
  <c r="AB165" i="2"/>
  <c r="N187" i="6" l="1"/>
  <c r="N181" i="6"/>
  <c r="N250" i="2"/>
  <c r="T333" i="5"/>
  <c r="N167" i="2"/>
  <c r="N303" i="2"/>
  <c r="N125" i="2"/>
  <c r="N278" i="2"/>
  <c r="T268" i="5"/>
  <c r="T393" i="5"/>
  <c r="AB125" i="2"/>
  <c r="AB167" i="2"/>
  <c r="AB278" i="2"/>
  <c r="AB303" i="2"/>
  <c r="T276" i="5" l="1"/>
  <c r="N163" i="6"/>
  <c r="N267" i="2" s="1"/>
  <c r="N307" i="2"/>
  <c r="U391" i="5"/>
  <c r="T405" i="5"/>
  <c r="T411" i="5" s="1"/>
  <c r="U412" i="5" s="1"/>
  <c r="T308" i="5"/>
  <c r="N137" i="2" a="1"/>
  <c r="N137" i="2" s="1"/>
  <c r="N169" i="2"/>
  <c r="AB307" i="2"/>
  <c r="AB169" i="2"/>
  <c r="AB267" i="2"/>
  <c r="AB137" i="2"/>
  <c r="N296" i="2" l="1"/>
  <c r="N316" i="2"/>
  <c r="N172" i="2"/>
  <c r="N385" i="2"/>
  <c r="N272" i="2"/>
  <c r="T430" i="5"/>
  <c r="T316" i="5"/>
  <c r="T326" i="5" s="1"/>
  <c r="T280" i="5"/>
  <c r="N171" i="6"/>
  <c r="AB172" i="2"/>
  <c r="AB296" i="2"/>
  <c r="AB385" i="2"/>
  <c r="AB316" i="2"/>
  <c r="AB272" i="2"/>
  <c r="T283" i="5" l="1"/>
  <c r="N174" i="6"/>
  <c r="N276" i="2"/>
  <c r="N176" i="2"/>
  <c r="N183" i="6"/>
  <c r="N282" i="2"/>
  <c r="N273" i="2"/>
  <c r="N189" i="6"/>
  <c r="AB176" i="2"/>
  <c r="AB276" i="2"/>
  <c r="N298" i="2" l="1"/>
  <c r="N177" i="2"/>
  <c r="N177" i="6"/>
  <c r="O173" i="6" s="1"/>
  <c r="U279" i="5"/>
  <c r="U385" i="5" s="1"/>
  <c r="T284" i="5"/>
  <c r="T289" i="5"/>
  <c r="N184" i="6"/>
  <c r="N191" i="6"/>
  <c r="AB298" i="2"/>
  <c r="T417" i="5" l="1"/>
  <c r="U418" i="5" s="1"/>
  <c r="T431" i="5"/>
  <c r="T433" i="5" s="1"/>
  <c r="T294" i="5"/>
  <c r="T305" i="5" s="1"/>
  <c r="T334" i="5" s="1"/>
  <c r="T6" i="5" s="1"/>
  <c r="N299" i="2"/>
  <c r="N124" i="2"/>
  <c r="N300" i="2"/>
  <c r="AB300" i="2"/>
  <c r="AB299" i="2"/>
  <c r="AB124" i="2"/>
  <c r="N301" i="2" l="1"/>
  <c r="N136" i="2" a="1"/>
  <c r="N136" i="2" s="1"/>
  <c r="N282" i="6"/>
  <c r="T442" i="5"/>
  <c r="T436" i="5"/>
  <c r="T439" i="5" s="1"/>
  <c r="T443" i="5" s="1"/>
  <c r="U424" i="5"/>
  <c r="AB301" i="2"/>
  <c r="AB136" i="2"/>
  <c r="U426" i="5" l="1"/>
  <c r="U121" i="5"/>
  <c r="U123" i="5" s="1"/>
  <c r="U423" i="5"/>
  <c r="U250" i="5"/>
  <c r="U9" i="8" l="1"/>
  <c r="DF9" i="8" s="1"/>
  <c r="U242" i="5"/>
  <c r="U124" i="5" s="1"/>
  <c r="U126" i="5" s="1"/>
  <c r="U137" i="5"/>
  <c r="U128" i="5" l="1"/>
  <c r="U471" i="5"/>
  <c r="U146" i="5"/>
  <c r="U138" i="5"/>
  <c r="U251" i="5"/>
  <c r="U157" i="5" l="1"/>
  <c r="U149" i="5"/>
  <c r="U272" i="5"/>
  <c r="U470" i="5"/>
  <c r="U255" i="5"/>
  <c r="U160" i="5" l="1"/>
  <c r="U473" i="5"/>
  <c r="U155" i="5"/>
  <c r="U169" i="5"/>
  <c r="U330" i="5"/>
  <c r="U387" i="5"/>
  <c r="U388" i="5" s="1"/>
  <c r="U392" i="5" s="1"/>
  <c r="U268" i="5" l="1"/>
  <c r="U393" i="5"/>
  <c r="U333" i="5"/>
  <c r="U308" i="5" l="1"/>
  <c r="U405" i="5"/>
  <c r="U411" i="5" s="1"/>
  <c r="V412" i="5" s="1"/>
  <c r="V391" i="5"/>
  <c r="U276" i="5"/>
  <c r="U280" i="5" l="1"/>
  <c r="U316" i="5"/>
  <c r="U326" i="5" s="1"/>
  <c r="U430" i="5"/>
  <c r="U283" i="5" l="1"/>
  <c r="U284" i="5" l="1"/>
  <c r="U289" i="5"/>
  <c r="V279" i="5"/>
  <c r="V385" i="5" s="1"/>
  <c r="U417" i="5" l="1"/>
  <c r="V418" i="5" s="1"/>
  <c r="U294" i="5"/>
  <c r="U305" i="5" s="1"/>
  <c r="U334" i="5" s="1"/>
  <c r="U6" i="5" s="1"/>
  <c r="U431" i="5"/>
  <c r="U433" i="5" s="1"/>
  <c r="U442" i="5" l="1"/>
  <c r="U436" i="5"/>
  <c r="U439" i="5" s="1"/>
  <c r="U443" i="5" s="1"/>
  <c r="V424" i="5"/>
  <c r="V426" i="5" l="1"/>
  <c r="V121" i="5"/>
  <c r="O77" i="6" s="1"/>
  <c r="V423" i="5"/>
  <c r="V250" i="5"/>
  <c r="O289" i="6"/>
  <c r="O291" i="6" s="1"/>
  <c r="V123" i="5"/>
  <c r="AC158" i="2"/>
  <c r="O159" i="2" l="1"/>
  <c r="O103" i="6"/>
  <c r="O328" i="2"/>
  <c r="V9" i="8"/>
  <c r="DG9" i="8" s="1"/>
  <c r="V242" i="5"/>
  <c r="V124" i="5" s="1"/>
  <c r="V126" i="5" s="1"/>
  <c r="V137" i="5"/>
  <c r="O79" i="6"/>
  <c r="O105" i="6" s="1"/>
  <c r="O147" i="6"/>
  <c r="O247" i="2" s="1"/>
  <c r="AC247" i="2"/>
  <c r="AC159" i="2"/>
  <c r="AC157" i="2"/>
  <c r="AC328" i="2"/>
  <c r="V138" i="5" l="1"/>
  <c r="V471" i="5"/>
  <c r="V146" i="5"/>
  <c r="V128" i="5"/>
  <c r="O83" i="6" s="1"/>
  <c r="O109" i="6" s="1"/>
  <c r="O82" i="6"/>
  <c r="V251" i="5"/>
  <c r="O80" i="6"/>
  <c r="L9" i="10" l="1"/>
  <c r="L11" i="10" s="1"/>
  <c r="L9" i="9"/>
  <c r="BG9" i="9" s="1"/>
  <c r="O162" i="2"/>
  <c r="O106" i="6"/>
  <c r="O163" i="2"/>
  <c r="O148" i="6"/>
  <c r="O248" i="2" s="1"/>
  <c r="V255" i="5"/>
  <c r="V272" i="5"/>
  <c r="O167" i="6" s="1"/>
  <c r="O269" i="2" s="1"/>
  <c r="V470" i="5"/>
  <c r="O108" i="6"/>
  <c r="O277" i="6"/>
  <c r="V157" i="5"/>
  <c r="O126" i="6" s="1"/>
  <c r="O297" i="2" s="1"/>
  <c r="V149" i="5"/>
  <c r="O115" i="6"/>
  <c r="AC269" i="2"/>
  <c r="AC248" i="2"/>
  <c r="AC297" i="2"/>
  <c r="AC162" i="2"/>
  <c r="AC163" i="2"/>
  <c r="V155" i="5" l="1"/>
  <c r="O124" i="6" s="1"/>
  <c r="V169" i="5"/>
  <c r="O118" i="6"/>
  <c r="V330" i="5"/>
  <c r="V160" i="5"/>
  <c r="O129" i="6" s="1"/>
  <c r="O302" i="2" s="1"/>
  <c r="V473" i="5"/>
  <c r="V387" i="5"/>
  <c r="V388" i="5" s="1"/>
  <c r="V392" i="5" s="1"/>
  <c r="O152" i="6"/>
  <c r="O308" i="6" s="1"/>
  <c r="O310" i="6" s="1"/>
  <c r="O311" i="6" s="1"/>
  <c r="O249" i="2"/>
  <c r="O306" i="2"/>
  <c r="O165" i="2"/>
  <c r="AC249" i="2"/>
  <c r="AC306" i="2"/>
  <c r="AC302" i="2"/>
  <c r="AC165" i="2"/>
  <c r="V268" i="5" l="1"/>
  <c r="V393" i="5"/>
  <c r="O187" i="6"/>
  <c r="O181" i="6"/>
  <c r="O250" i="2"/>
  <c r="O303" i="2"/>
  <c r="O125" i="2"/>
  <c r="V333" i="5"/>
  <c r="O167" i="2"/>
  <c r="O278" i="2"/>
  <c r="AC125" i="2"/>
  <c r="AC278" i="2"/>
  <c r="AC303" i="2"/>
  <c r="AC167" i="2"/>
  <c r="O169" i="2" l="1"/>
  <c r="O137" i="2" a="1"/>
  <c r="O137" i="2" s="1"/>
  <c r="W391" i="5"/>
  <c r="V405" i="5"/>
  <c r="V411" i="5" s="1"/>
  <c r="W412" i="5" s="1"/>
  <c r="V308" i="5"/>
  <c r="O307" i="2"/>
  <c r="O239" i="6"/>
  <c r="V276" i="5"/>
  <c r="O163" i="6"/>
  <c r="O267" i="2" s="1"/>
  <c r="AC267" i="2"/>
  <c r="AC137" i="2"/>
  <c r="AC169" i="2"/>
  <c r="AC307" i="2"/>
  <c r="O385" i="2" l="1"/>
  <c r="O272" i="2"/>
  <c r="V280" i="5"/>
  <c r="O171" i="6"/>
  <c r="V316" i="5"/>
  <c r="V326" i="5" s="1"/>
  <c r="V430" i="5"/>
  <c r="O296" i="2"/>
  <c r="O316" i="2"/>
  <c r="O172" i="2"/>
  <c r="AC172" i="2"/>
  <c r="AC316" i="2"/>
  <c r="AC272" i="2"/>
  <c r="AC385" i="2"/>
  <c r="AC296" i="2"/>
  <c r="V283" i="5" l="1"/>
  <c r="O174" i="6"/>
  <c r="O176" i="2"/>
  <c r="O183" i="6"/>
  <c r="O282" i="2"/>
  <c r="O273" i="2"/>
  <c r="O189" i="6"/>
  <c r="O276" i="2"/>
  <c r="AC176" i="2"/>
  <c r="AC276" i="2"/>
  <c r="O298" i="2" l="1"/>
  <c r="O177" i="2"/>
  <c r="W279" i="5"/>
  <c r="W385" i="5" s="1"/>
  <c r="V289" i="5"/>
  <c r="V284" i="5"/>
  <c r="O191" i="6"/>
  <c r="O184" i="6"/>
  <c r="AC298" i="2"/>
  <c r="V294" i="5" l="1"/>
  <c r="V305" i="5" s="1"/>
  <c r="V334" i="5" s="1"/>
  <c r="V6" i="5" s="1"/>
  <c r="V431" i="5"/>
  <c r="V433" i="5" s="1"/>
  <c r="V417" i="5"/>
  <c r="W418" i="5" s="1"/>
  <c r="O299" i="2"/>
  <c r="O124" i="2"/>
  <c r="O300" i="2"/>
  <c r="AC299" i="2"/>
  <c r="AC300" i="2"/>
  <c r="AC124" i="2"/>
  <c r="O301" i="2" l="1"/>
  <c r="O136" i="2" a="1"/>
  <c r="O136" i="2" s="1"/>
  <c r="V436" i="5"/>
  <c r="V439" i="5" s="1"/>
  <c r="V443" i="5" s="1"/>
  <c r="V442" i="5"/>
  <c r="W424" i="5"/>
  <c r="AC136" i="2"/>
  <c r="AC301" i="2"/>
  <c r="W426" i="5" l="1"/>
  <c r="W121" i="5"/>
  <c r="W123" i="5" s="1"/>
  <c r="W423" i="5"/>
  <c r="W250" i="5"/>
  <c r="W242" i="5" l="1"/>
  <c r="W124" i="5" s="1"/>
  <c r="W126" i="5" s="1"/>
  <c r="W9" i="8"/>
  <c r="DH9" i="8" s="1"/>
  <c r="W137" i="5"/>
  <c r="W128" i="5" l="1"/>
  <c r="W471" i="5"/>
  <c r="W146" i="5"/>
  <c r="W138" i="5"/>
  <c r="W251" i="5"/>
  <c r="W255" i="5" l="1"/>
  <c r="W157" i="5"/>
  <c r="W149" i="5"/>
  <c r="W470" i="5"/>
  <c r="W272" i="5"/>
  <c r="W387" i="5" l="1"/>
  <c r="W388" i="5" s="1"/>
  <c r="W392" i="5" s="1"/>
  <c r="W169" i="5"/>
  <c r="W155" i="5"/>
  <c r="W330" i="5"/>
  <c r="W160" i="5"/>
  <c r="W473" i="5"/>
  <c r="W333" i="5" l="1"/>
  <c r="W268" i="5"/>
  <c r="W393" i="5"/>
  <c r="X391" i="5" l="1"/>
  <c r="W405" i="5"/>
  <c r="W411" i="5" s="1"/>
  <c r="X412" i="5" s="1"/>
  <c r="W308" i="5"/>
  <c r="W276" i="5"/>
  <c r="W280" i="5" l="1"/>
  <c r="W430" i="5"/>
  <c r="W316" i="5"/>
  <c r="W326" i="5" s="1"/>
  <c r="W283" i="5" l="1"/>
  <c r="X279" i="5" l="1"/>
  <c r="X385" i="5" s="1"/>
  <c r="W284" i="5"/>
  <c r="W289" i="5"/>
  <c r="W294" i="5" l="1"/>
  <c r="W305" i="5" s="1"/>
  <c r="W334" i="5" s="1"/>
  <c r="W6" i="5" s="1"/>
  <c r="W417" i="5"/>
  <c r="X418" i="5" s="1"/>
  <c r="W431" i="5"/>
  <c r="W433" i="5" s="1"/>
  <c r="X424" i="5" l="1"/>
  <c r="W442" i="5"/>
  <c r="W436" i="5"/>
  <c r="W439" i="5" s="1"/>
  <c r="W443" i="5" s="1"/>
  <c r="X426" i="5" l="1"/>
  <c r="X121" i="5"/>
  <c r="P77" i="6" s="1"/>
  <c r="X423" i="5"/>
  <c r="X250" i="5"/>
  <c r="P147" i="6" s="1"/>
  <c r="P247" i="2" s="1"/>
  <c r="P289" i="6"/>
  <c r="P291" i="6" s="1"/>
  <c r="X123" i="5"/>
  <c r="AD158" i="2"/>
  <c r="AD247" i="2"/>
  <c r="P159" i="2" l="1"/>
  <c r="P103" i="6"/>
  <c r="P328" i="2"/>
  <c r="X9" i="8"/>
  <c r="DI9" i="8" s="1"/>
  <c r="X137" i="5"/>
  <c r="X242" i="5"/>
  <c r="X124" i="5" s="1"/>
  <c r="P79" i="6"/>
  <c r="P105" i="6" s="1"/>
  <c r="AD159" i="2"/>
  <c r="AD328" i="2"/>
  <c r="AD157" i="2"/>
  <c r="X251" i="5" l="1"/>
  <c r="P80" i="6"/>
  <c r="X126" i="5"/>
  <c r="X128" i="5" l="1"/>
  <c r="P83" i="6" s="1"/>
  <c r="P109" i="6" s="1"/>
  <c r="X471" i="5"/>
  <c r="X138" i="5"/>
  <c r="X146" i="5"/>
  <c r="P82" i="6"/>
  <c r="P162" i="2"/>
  <c r="P163" i="2"/>
  <c r="P106" i="6"/>
  <c r="X255" i="5"/>
  <c r="P148" i="6"/>
  <c r="P248" i="2" s="1"/>
  <c r="AD162" i="2"/>
  <c r="AD248" i="2"/>
  <c r="AD163" i="2"/>
  <c r="M9" i="10" l="1"/>
  <c r="M11" i="10" s="1"/>
  <c r="M9" i="9"/>
  <c r="BH9" i="9" s="1"/>
  <c r="P152" i="6"/>
  <c r="P308" i="6" s="1"/>
  <c r="P310" i="6" s="1"/>
  <c r="P311" i="6" s="1"/>
  <c r="P306" i="2"/>
  <c r="P108" i="6"/>
  <c r="P277" i="6"/>
  <c r="X149" i="5"/>
  <c r="X157" i="5"/>
  <c r="P126" i="6" s="1"/>
  <c r="P297" i="2" s="1"/>
  <c r="P115" i="6"/>
  <c r="P249" i="2"/>
  <c r="P165" i="2"/>
  <c r="X272" i="5"/>
  <c r="P167" i="6" s="1"/>
  <c r="P269" i="2" s="1"/>
  <c r="X470" i="5"/>
  <c r="AD269" i="2"/>
  <c r="AD165" i="2"/>
  <c r="AD306" i="2"/>
  <c r="AD249" i="2"/>
  <c r="AD297" i="2"/>
  <c r="P278" i="2" l="1"/>
  <c r="X155" i="5"/>
  <c r="P124" i="6" s="1"/>
  <c r="X169" i="5"/>
  <c r="P118" i="6"/>
  <c r="X330" i="5"/>
  <c r="X473" i="5"/>
  <c r="X160" i="5"/>
  <c r="P129" i="6" s="1"/>
  <c r="P302" i="2" s="1"/>
  <c r="P167" i="2"/>
  <c r="P250" i="2"/>
  <c r="P187" i="6"/>
  <c r="P181" i="6"/>
  <c r="X387" i="5"/>
  <c r="X388" i="5" s="1"/>
  <c r="X392" i="5" s="1"/>
  <c r="AD167" i="2"/>
  <c r="AD278" i="2"/>
  <c r="AD302" i="2"/>
  <c r="P169" i="2" l="1"/>
  <c r="P303" i="2"/>
  <c r="P125" i="2"/>
  <c r="P236" i="6"/>
  <c r="P224" i="2" s="1"/>
  <c r="X333" i="5"/>
  <c r="X268" i="5"/>
  <c r="X393" i="5"/>
  <c r="P307" i="2"/>
  <c r="AD169" i="2"/>
  <c r="AD125" i="2"/>
  <c r="AD307" i="2"/>
  <c r="AD303" i="2"/>
  <c r="AD224" i="2"/>
  <c r="X405" i="5" l="1"/>
  <c r="X411" i="5" s="1"/>
  <c r="Y412" i="5" s="1"/>
  <c r="Y391" i="5"/>
  <c r="X308" i="5"/>
  <c r="X276" i="5"/>
  <c r="P163" i="6"/>
  <c r="P267" i="2" s="1"/>
  <c r="P239" i="6"/>
  <c r="P246" i="6" s="1"/>
  <c r="P226" i="2"/>
  <c r="P137" i="2" a="1"/>
  <c r="P137" i="2" s="1"/>
  <c r="P172" i="2"/>
  <c r="P296" i="2"/>
  <c r="P316" i="2"/>
  <c r="AD137" i="2"/>
  <c r="AD296" i="2"/>
  <c r="AD172" i="2"/>
  <c r="AD226" i="2"/>
  <c r="AD316" i="2"/>
  <c r="AD267" i="2"/>
  <c r="P228" i="2" l="1"/>
  <c r="P176" i="2"/>
  <c r="P214" i="6"/>
  <c r="P202" i="2" s="1"/>
  <c r="X316" i="5"/>
  <c r="X430" i="5"/>
  <c r="P385" i="2"/>
  <c r="P272" i="2"/>
  <c r="X280" i="5"/>
  <c r="P171" i="6"/>
  <c r="AD202" i="2"/>
  <c r="AD385" i="2"/>
  <c r="AD228" i="2"/>
  <c r="AD176" i="2"/>
  <c r="AD272" i="2"/>
  <c r="P183" i="6" l="1"/>
  <c r="P282" i="2"/>
  <c r="P273" i="2"/>
  <c r="P189" i="6"/>
  <c r="X283" i="5"/>
  <c r="P174" i="6"/>
  <c r="X326" i="5"/>
  <c r="P222" i="6"/>
  <c r="P244" i="6" s="1"/>
  <c r="P276" i="2"/>
  <c r="P381" i="2"/>
  <c r="P208" i="2"/>
  <c r="P298" i="2"/>
  <c r="P177" i="2"/>
  <c r="P308" i="2"/>
  <c r="P233" i="2"/>
  <c r="P234" i="2"/>
  <c r="AD276" i="2"/>
  <c r="AD234" i="2"/>
  <c r="AD208" i="2"/>
  <c r="AD298" i="2"/>
  <c r="AD381" i="2"/>
  <c r="AD233" i="2"/>
  <c r="AD308" i="2"/>
  <c r="P191" i="6" l="1"/>
  <c r="P184" i="6"/>
  <c r="P309" i="2"/>
  <c r="P218" i="2"/>
  <c r="P299" i="2"/>
  <c r="P124" i="2"/>
  <c r="P300" i="2"/>
  <c r="P177" i="6"/>
  <c r="Q173" i="6" s="1"/>
  <c r="X284" i="5"/>
  <c r="Y279" i="5"/>
  <c r="Y385" i="5" s="1"/>
  <c r="X289" i="5"/>
  <c r="AD218" i="2"/>
  <c r="AD299" i="2"/>
  <c r="AD309" i="2"/>
  <c r="AD300" i="2"/>
  <c r="AD124" i="2"/>
  <c r="P136" i="2" l="1" a="1"/>
  <c r="P136" i="2" s="1"/>
  <c r="P194" i="6"/>
  <c r="P182" i="2" s="1"/>
  <c r="X294" i="5"/>
  <c r="X417" i="5"/>
  <c r="Y418" i="5" s="1"/>
  <c r="X431" i="5"/>
  <c r="X433" i="5" s="1"/>
  <c r="P301" i="2"/>
  <c r="AD182" i="2"/>
  <c r="AD301" i="2"/>
  <c r="AD136" i="2"/>
  <c r="Y424" i="5" l="1"/>
  <c r="P187" i="2"/>
  <c r="P281" i="2"/>
  <c r="P232" i="2"/>
  <c r="P282" i="6"/>
  <c r="X436" i="5"/>
  <c r="X439" i="5" s="1"/>
  <c r="X442" i="5"/>
  <c r="P283" i="6" s="1"/>
  <c r="X305" i="5"/>
  <c r="P199" i="6"/>
  <c r="P242" i="6" s="1"/>
  <c r="AD281" i="2"/>
  <c r="AD187" i="2"/>
  <c r="AD232" i="2"/>
  <c r="Y426" i="5" l="1"/>
  <c r="Y121" i="5"/>
  <c r="Y423" i="5"/>
  <c r="P210" i="6"/>
  <c r="X334" i="5"/>
  <c r="X6" i="5" s="1"/>
  <c r="X443" i="5"/>
  <c r="P285" i="6"/>
  <c r="P325" i="2"/>
  <c r="P327" i="2"/>
  <c r="P326" i="2"/>
  <c r="P336" i="2"/>
  <c r="Y250" i="5"/>
  <c r="Q280" i="2"/>
  <c r="P197" i="2"/>
  <c r="Y123" i="5"/>
  <c r="AD327" i="2"/>
  <c r="AD336" i="2"/>
  <c r="AD197" i="2"/>
  <c r="AD326" i="2"/>
  <c r="AD325" i="2"/>
  <c r="AE280" i="2"/>
  <c r="Y9" i="8" l="1"/>
  <c r="DJ9" i="8" s="1"/>
  <c r="Y242" i="5"/>
  <c r="Y124" i="5" s="1"/>
  <c r="Y126" i="5" s="1"/>
  <c r="Y137" i="5"/>
  <c r="P229" i="2"/>
  <c r="P231" i="2"/>
  <c r="P198" i="2"/>
  <c r="AD231" i="2"/>
  <c r="P319" i="2" l="1"/>
  <c r="Y251" i="5"/>
  <c r="Y138" i="5"/>
  <c r="Y128" i="5"/>
  <c r="Y471" i="5"/>
  <c r="Y146" i="5"/>
  <c r="AD319" i="2"/>
  <c r="Y157" i="5" l="1"/>
  <c r="Y149" i="5"/>
  <c r="Y255" i="5"/>
  <c r="Y470" i="5"/>
  <c r="Y272" i="5"/>
  <c r="Y169" i="5" l="1"/>
  <c r="Y155" i="5"/>
  <c r="Y330" i="5"/>
  <c r="Y387" i="5"/>
  <c r="Y388" i="5" s="1"/>
  <c r="Y392" i="5" s="1"/>
  <c r="Y473" i="5"/>
  <c r="Y160" i="5"/>
  <c r="Y268" i="5" l="1"/>
  <c r="Y393" i="5"/>
  <c r="Y333" i="5"/>
  <c r="Z391" i="5" l="1"/>
  <c r="Y308" i="5"/>
  <c r="Y405" i="5"/>
  <c r="Y411" i="5" s="1"/>
  <c r="Z412" i="5" s="1"/>
  <c r="Y276" i="5"/>
  <c r="Y280" i="5" l="1"/>
  <c r="Y430" i="5"/>
  <c r="Y316" i="5"/>
  <c r="Y326" i="5" s="1"/>
  <c r="Y283" i="5" l="1"/>
  <c r="Y289" i="5" l="1"/>
  <c r="Z279" i="5"/>
  <c r="Z385" i="5" s="1"/>
  <c r="Y284" i="5"/>
  <c r="Y431" i="5" l="1"/>
  <c r="Y433" i="5" s="1"/>
  <c r="Y417" i="5"/>
  <c r="Z418" i="5" s="1"/>
  <c r="Y294" i="5"/>
  <c r="Y305" i="5" s="1"/>
  <c r="Y334" i="5" s="1"/>
  <c r="Y6" i="5" s="1"/>
  <c r="Z424" i="5" l="1"/>
  <c r="Y442" i="5"/>
  <c r="Y436" i="5"/>
  <c r="Y439" i="5" s="1"/>
  <c r="Y443" i="5" s="1"/>
  <c r="Z426" i="5" l="1"/>
  <c r="Z121" i="5"/>
  <c r="Q77" i="6" s="1"/>
  <c r="Z423" i="5"/>
  <c r="Z250" i="5"/>
  <c r="Q147" i="6" s="1"/>
  <c r="Q247" i="2" s="1"/>
  <c r="Q289" i="6"/>
  <c r="Q291" i="6" s="1"/>
  <c r="Z123" i="5"/>
  <c r="AE247" i="2"/>
  <c r="AE158" i="2"/>
  <c r="Q159" i="2" l="1"/>
  <c r="Q103" i="6"/>
  <c r="Q328" i="2"/>
  <c r="Z9" i="8"/>
  <c r="DK9" i="8" s="1"/>
  <c r="Z242" i="5"/>
  <c r="Z124" i="5" s="1"/>
  <c r="Z126" i="5" s="1"/>
  <c r="Z137" i="5"/>
  <c r="Q79" i="6"/>
  <c r="Q105" i="6" s="1"/>
  <c r="AE328" i="2"/>
  <c r="AE159" i="2"/>
  <c r="AE157" i="2"/>
  <c r="Z128" i="5" l="1"/>
  <c r="Q83" i="6" s="1"/>
  <c r="Q109" i="6" s="1"/>
  <c r="Z138" i="5"/>
  <c r="Z471" i="5"/>
  <c r="Z146" i="5"/>
  <c r="Q82" i="6"/>
  <c r="Z251" i="5"/>
  <c r="Q80" i="6"/>
  <c r="N9" i="10" l="1"/>
  <c r="N11" i="10" s="1"/>
  <c r="N9" i="9"/>
  <c r="BI9" i="9" s="1"/>
  <c r="Q162" i="2"/>
  <c r="Q108" i="6"/>
  <c r="Q277" i="6"/>
  <c r="Z157" i="5"/>
  <c r="Q126" i="6" s="1"/>
  <c r="Q297" i="2" s="1"/>
  <c r="Z149" i="5"/>
  <c r="Q115" i="6"/>
  <c r="Z272" i="5"/>
  <c r="Q167" i="6" s="1"/>
  <c r="Q269" i="2" s="1"/>
  <c r="Z470" i="5"/>
  <c r="Q163" i="2"/>
  <c r="Q106" i="6"/>
  <c r="Z255" i="5"/>
  <c r="Q148" i="6"/>
  <c r="Q248" i="2" s="1"/>
  <c r="AE248" i="2"/>
  <c r="AE269" i="2"/>
  <c r="AE163" i="2"/>
  <c r="AE162" i="2"/>
  <c r="AE297" i="2"/>
  <c r="Z387" i="5" l="1"/>
  <c r="Z388" i="5" s="1"/>
  <c r="Z392" i="5" s="1"/>
  <c r="Q152" i="6"/>
  <c r="Q306" i="2"/>
  <c r="Z473" i="5"/>
  <c r="Z160" i="5"/>
  <c r="Q129" i="6" s="1"/>
  <c r="Q302" i="2" s="1"/>
  <c r="Z169" i="5"/>
  <c r="Z155" i="5"/>
  <c r="Q124" i="6" s="1"/>
  <c r="Q118" i="6"/>
  <c r="Z330" i="5"/>
  <c r="Q249" i="2"/>
  <c r="Q165" i="2"/>
  <c r="AE249" i="2"/>
  <c r="AE302" i="2"/>
  <c r="AE165" i="2"/>
  <c r="AE306" i="2"/>
  <c r="Q167" i="2" l="1"/>
  <c r="Q278" i="2"/>
  <c r="Q236" i="6"/>
  <c r="Q224" i="2" s="1"/>
  <c r="Z333" i="5"/>
  <c r="Q239" i="6" s="1"/>
  <c r="Q187" i="6"/>
  <c r="Q181" i="6"/>
  <c r="Q250" i="2"/>
  <c r="Q125" i="2"/>
  <c r="Q303" i="2"/>
  <c r="Z268" i="5"/>
  <c r="Z393" i="5"/>
  <c r="AE278" i="2"/>
  <c r="AE303" i="2"/>
  <c r="AE224" i="2"/>
  <c r="AE167" i="2"/>
  <c r="AE125" i="2"/>
  <c r="Q246" i="6" l="1"/>
  <c r="AA391" i="5"/>
  <c r="Z308" i="5"/>
  <c r="Z405" i="5"/>
  <c r="Z411" i="5" s="1"/>
  <c r="AA412" i="5" s="1"/>
  <c r="Z276" i="5"/>
  <c r="Q163" i="6"/>
  <c r="Q267" i="2" s="1"/>
  <c r="Q137" i="2" a="1"/>
  <c r="Q137" i="2" s="1"/>
  <c r="Q226" i="2"/>
  <c r="Q307" i="2"/>
  <c r="Q169" i="2"/>
  <c r="AE169" i="2"/>
  <c r="AE226" i="2"/>
  <c r="AE267" i="2"/>
  <c r="AE307" i="2"/>
  <c r="AE137" i="2"/>
  <c r="Q316" i="2" l="1"/>
  <c r="Q296" i="2"/>
  <c r="Q172" i="2"/>
  <c r="Q228" i="2"/>
  <c r="Q385" i="2"/>
  <c r="Q272" i="2"/>
  <c r="Z280" i="5"/>
  <c r="Q171" i="6"/>
  <c r="Q214" i="6"/>
  <c r="Q202" i="2" s="1"/>
  <c r="Z430" i="5"/>
  <c r="Z316" i="5"/>
  <c r="AE202" i="2"/>
  <c r="AE296" i="2"/>
  <c r="AE228" i="2"/>
  <c r="AE385" i="2"/>
  <c r="AE316" i="2"/>
  <c r="AE172" i="2"/>
  <c r="AE272" i="2"/>
  <c r="Q183" i="6" l="1"/>
  <c r="Q282" i="2"/>
  <c r="Q273" i="2"/>
  <c r="Q189" i="6"/>
  <c r="Q381" i="2"/>
  <c r="Q208" i="2"/>
  <c r="Q276" i="2"/>
  <c r="Q233" i="2"/>
  <c r="Q234" i="2"/>
  <c r="Q308" i="2"/>
  <c r="Q237" i="2"/>
  <c r="Z326" i="5"/>
  <c r="Q222" i="6"/>
  <c r="Q244" i="6" s="1"/>
  <c r="Z283" i="5"/>
  <c r="Q174" i="6"/>
  <c r="Q322" i="2"/>
  <c r="Q176" i="2"/>
  <c r="AE322" i="2"/>
  <c r="AE176" i="2"/>
  <c r="AE381" i="2"/>
  <c r="AE234" i="2"/>
  <c r="AE233" i="2"/>
  <c r="AE208" i="2"/>
  <c r="AE237" i="2"/>
  <c r="AE276" i="2"/>
  <c r="AE308" i="2"/>
  <c r="Q177" i="6" l="1"/>
  <c r="AA279" i="5"/>
  <c r="AA385" i="5" s="1"/>
  <c r="Z284" i="5"/>
  <c r="Z289" i="5"/>
  <c r="Q309" i="2"/>
  <c r="Q218" i="2"/>
  <c r="Q298" i="2"/>
  <c r="Q177" i="2"/>
  <c r="Q191" i="6"/>
  <c r="Q184" i="6"/>
  <c r="Q232" i="6"/>
  <c r="Q219" i="2" s="1"/>
  <c r="AE298" i="2"/>
  <c r="AE218" i="2"/>
  <c r="AE309" i="2"/>
  <c r="Q194" i="6" l="1"/>
  <c r="Q182" i="2" s="1"/>
  <c r="Z294" i="5"/>
  <c r="Z417" i="5"/>
  <c r="AA418" i="5" s="1"/>
  <c r="Z431" i="5"/>
  <c r="Z433" i="5" s="1"/>
  <c r="Q299" i="2"/>
  <c r="Q124" i="2"/>
  <c r="Q300" i="2"/>
  <c r="Q185" i="6"/>
  <c r="Q190" i="6"/>
  <c r="AE124" i="2"/>
  <c r="AE299" i="2"/>
  <c r="AE182" i="2"/>
  <c r="AE300" i="2"/>
  <c r="Q301" i="2" l="1"/>
  <c r="Q136" i="2" a="1"/>
  <c r="Q136" i="2" s="1"/>
  <c r="Q282" i="6"/>
  <c r="Z442" i="5"/>
  <c r="Q283" i="6" s="1"/>
  <c r="Z436" i="5"/>
  <c r="Z439" i="5" s="1"/>
  <c r="AA424" i="5"/>
  <c r="AA121" i="5" s="1"/>
  <c r="Z305" i="5"/>
  <c r="Q199" i="6"/>
  <c r="Q242" i="6" s="1"/>
  <c r="Q281" i="2"/>
  <c r="Q187" i="2"/>
  <c r="Q232" i="2"/>
  <c r="AE301" i="2"/>
  <c r="AE136" i="2"/>
  <c r="AE187" i="2"/>
  <c r="AE281" i="2"/>
  <c r="AE232" i="2"/>
  <c r="AA423" i="5" l="1"/>
  <c r="AA426" i="5"/>
  <c r="AA123" i="5"/>
  <c r="Q327" i="2"/>
  <c r="Q336" i="2"/>
  <c r="Q326" i="2"/>
  <c r="Q325" i="2"/>
  <c r="AA9" i="8"/>
  <c r="DL9" i="8" s="1"/>
  <c r="Q210" i="6"/>
  <c r="Z334" i="5"/>
  <c r="Z6" i="5" s="1"/>
  <c r="Z443" i="5"/>
  <c r="Q286" i="6" s="1"/>
  <c r="Q285" i="6"/>
  <c r="Q197" i="2"/>
  <c r="AA250" i="5"/>
  <c r="AE326" i="2"/>
  <c r="AE197" i="2"/>
  <c r="AE325" i="2"/>
  <c r="AE327" i="2"/>
  <c r="AE336" i="2"/>
  <c r="AA242" i="5" l="1"/>
  <c r="AA124" i="5" s="1"/>
  <c r="AA251" i="5" s="1"/>
  <c r="AA137" i="5"/>
  <c r="Q231" i="2"/>
  <c r="Q229" i="2"/>
  <c r="Q323" i="2"/>
  <c r="Q236" i="2"/>
  <c r="Q198" i="2"/>
  <c r="Q241" i="6"/>
  <c r="AA255" i="5"/>
  <c r="AE323" i="2"/>
  <c r="AE231" i="2"/>
  <c r="AE236" i="2"/>
  <c r="AA126" i="5" l="1"/>
  <c r="AA128" i="5" s="1"/>
  <c r="Q319" i="2"/>
  <c r="J289" i="6"/>
  <c r="J291" i="6" s="1"/>
  <c r="AE319" i="2"/>
  <c r="AA471" i="5" l="1"/>
  <c r="AA470" i="5" s="1"/>
  <c r="AA138" i="5"/>
  <c r="AA146" i="5"/>
  <c r="AA157" i="5" s="1"/>
  <c r="AA272" i="5"/>
  <c r="AA387" i="5" s="1"/>
  <c r="AA388" i="5" s="1"/>
  <c r="AA392" i="5" s="1"/>
  <c r="AA268" i="5" s="1"/>
  <c r="AA276" i="5" s="1"/>
  <c r="AA280" i="5" s="1"/>
  <c r="AA283" i="5" s="1"/>
  <c r="Q321" i="2"/>
  <c r="Q320" i="2"/>
  <c r="AA473" i="5"/>
  <c r="AA160" i="5"/>
  <c r="K79" i="6"/>
  <c r="K105" i="6" s="1"/>
  <c r="J147" i="6"/>
  <c r="J247" i="2" s="1"/>
  <c r="K147" i="6"/>
  <c r="X247" i="2"/>
  <c r="AE321" i="2"/>
  <c r="AE320" i="2"/>
  <c r="X157" i="2"/>
  <c r="AA149" i="5" l="1"/>
  <c r="AA155" i="5" s="1"/>
  <c r="AA393" i="5"/>
  <c r="AB391" i="5" s="1"/>
  <c r="AA289" i="5"/>
  <c r="AA284" i="5"/>
  <c r="AB279" i="5"/>
  <c r="AB385" i="5" s="1"/>
  <c r="J109" i="6"/>
  <c r="K82" i="6"/>
  <c r="E10" i="17" s="1"/>
  <c r="J82" i="6"/>
  <c r="D10" i="17" s="1"/>
  <c r="K247" i="2"/>
  <c r="J80" i="6"/>
  <c r="K80" i="6"/>
  <c r="Y247" i="2"/>
  <c r="AA330" i="5" l="1"/>
  <c r="AA333" i="5" s="1"/>
  <c r="AA169" i="5"/>
  <c r="K108" i="6"/>
  <c r="H9" i="9"/>
  <c r="BC9" i="9" s="1"/>
  <c r="J108" i="6"/>
  <c r="G9" i="9"/>
  <c r="BB9" i="9" s="1"/>
  <c r="AA308" i="5"/>
  <c r="AA430" i="5" s="1"/>
  <c r="AA405" i="5"/>
  <c r="AA411" i="5" s="1"/>
  <c r="AB412" i="5" s="1"/>
  <c r="AA294" i="5"/>
  <c r="AA305" i="5" s="1"/>
  <c r="AA431" i="5"/>
  <c r="AA417" i="5"/>
  <c r="AB418" i="5" s="1"/>
  <c r="J163" i="2"/>
  <c r="J106" i="6"/>
  <c r="K163" i="2"/>
  <c r="K106" i="6"/>
  <c r="J148" i="6"/>
  <c r="J248" i="2" s="1"/>
  <c r="K148" i="6"/>
  <c r="G9" i="10"/>
  <c r="G11" i="10" s="1"/>
  <c r="J277" i="6"/>
  <c r="H9" i="10"/>
  <c r="H11" i="10" s="1"/>
  <c r="K277" i="6"/>
  <c r="J115" i="6"/>
  <c r="Y163" i="2"/>
  <c r="X248" i="2"/>
  <c r="X163" i="2"/>
  <c r="AA316" i="5" l="1"/>
  <c r="AA326" i="5" s="1"/>
  <c r="K306" i="2"/>
  <c r="AB424" i="5"/>
  <c r="K165" i="2"/>
  <c r="AA334" i="5"/>
  <c r="AA6" i="5" s="1"/>
  <c r="AA433" i="5"/>
  <c r="J118" i="6"/>
  <c r="K118" i="6"/>
  <c r="K248" i="2"/>
  <c r="K187" i="6"/>
  <c r="J152" i="6"/>
  <c r="J308" i="6" s="1"/>
  <c r="J310" i="6" s="1"/>
  <c r="J311" i="6" s="1"/>
  <c r="J249" i="2"/>
  <c r="X249" i="2"/>
  <c r="Y306" i="2"/>
  <c r="Y248" i="2"/>
  <c r="Y165" i="2"/>
  <c r="K167" i="2" l="1"/>
  <c r="AB426" i="5"/>
  <c r="AB121" i="5"/>
  <c r="AB423" i="5"/>
  <c r="AB250" i="5"/>
  <c r="AA442" i="5"/>
  <c r="AA436" i="5"/>
  <c r="AA439" i="5" s="1"/>
  <c r="AA443" i="5" s="1"/>
  <c r="M236" i="6"/>
  <c r="N236" i="6"/>
  <c r="N224" i="2" s="1"/>
  <c r="O236" i="6"/>
  <c r="J181" i="6"/>
  <c r="J187" i="6"/>
  <c r="J250" i="2"/>
  <c r="K181" i="6"/>
  <c r="J278" i="2"/>
  <c r="K169" i="2"/>
  <c r="K249" i="2"/>
  <c r="Y249" i="2"/>
  <c r="Y167" i="2"/>
  <c r="X278" i="2"/>
  <c r="Y169" i="2"/>
  <c r="AB224" i="2"/>
  <c r="AB123" i="5" l="1"/>
  <c r="AB242" i="5" s="1"/>
  <c r="AB124" i="5" s="1"/>
  <c r="AB251" i="5" s="1"/>
  <c r="AB255" i="5" s="1"/>
  <c r="J307" i="2"/>
  <c r="N239" i="6"/>
  <c r="N246" i="6" s="1"/>
  <c r="N226" i="2"/>
  <c r="O224" i="2"/>
  <c r="O246" i="6"/>
  <c r="K278" i="2"/>
  <c r="K276" i="2"/>
  <c r="K250" i="2"/>
  <c r="M224" i="2"/>
  <c r="M246" i="6"/>
  <c r="K316" i="2"/>
  <c r="K322" i="2"/>
  <c r="K296" i="2"/>
  <c r="K172" i="2"/>
  <c r="J163" i="6"/>
  <c r="J267" i="2" s="1"/>
  <c r="X307" i="2"/>
  <c r="Y316" i="2"/>
  <c r="X267" i="2"/>
  <c r="Y276" i="2"/>
  <c r="Y296" i="2"/>
  <c r="AC224" i="2"/>
  <c r="Y278" i="2"/>
  <c r="AB226" i="2"/>
  <c r="Y172" i="2"/>
  <c r="Y322" i="2"/>
  <c r="AA224" i="2"/>
  <c r="AB137" i="5" l="1"/>
  <c r="AB9" i="8"/>
  <c r="DM9" i="8" s="1"/>
  <c r="AB126" i="5"/>
  <c r="AB128" i="5" s="1"/>
  <c r="M226" i="2"/>
  <c r="K307" i="2"/>
  <c r="K176" i="2"/>
  <c r="J385" i="2"/>
  <c r="J171" i="6"/>
  <c r="O226" i="2"/>
  <c r="N228" i="2"/>
  <c r="N214" i="6"/>
  <c r="N202" i="2" s="1"/>
  <c r="O214" i="6"/>
  <c r="O202" i="2" s="1"/>
  <c r="AB202" i="2"/>
  <c r="AA226" i="2"/>
  <c r="AB228" i="2"/>
  <c r="AC202" i="2"/>
  <c r="Y176" i="2"/>
  <c r="AC226" i="2"/>
  <c r="Y307" i="2"/>
  <c r="X385" i="2"/>
  <c r="AB471" i="5" l="1"/>
  <c r="AB146" i="5"/>
  <c r="AB138" i="5"/>
  <c r="AB272" i="5"/>
  <c r="AB387" i="5" s="1"/>
  <c r="AB388" i="5" s="1"/>
  <c r="AB392" i="5" s="1"/>
  <c r="AB470" i="5"/>
  <c r="AB157" i="5"/>
  <c r="AB149" i="5"/>
  <c r="K177" i="2"/>
  <c r="K298" i="2"/>
  <c r="O381" i="2"/>
  <c r="O208" i="2"/>
  <c r="N381" i="2"/>
  <c r="N208" i="2"/>
  <c r="J174" i="6"/>
  <c r="J183" i="6"/>
  <c r="K183" i="6"/>
  <c r="N222" i="6"/>
  <c r="N244" i="6" s="1"/>
  <c r="O222" i="6"/>
  <c r="O244" i="6" s="1"/>
  <c r="N308" i="2"/>
  <c r="N233" i="2"/>
  <c r="N234" i="2"/>
  <c r="O228" i="2"/>
  <c r="M228" i="2"/>
  <c r="AB381" i="2"/>
  <c r="Y298" i="2"/>
  <c r="AB308" i="2"/>
  <c r="AC228" i="2"/>
  <c r="AC381" i="2"/>
  <c r="AB234" i="2"/>
  <c r="AA228" i="2"/>
  <c r="AB233" i="2"/>
  <c r="AB208" i="2"/>
  <c r="AC208" i="2"/>
  <c r="AB155" i="5" l="1"/>
  <c r="AB169" i="5"/>
  <c r="AB330" i="5"/>
  <c r="AB473" i="5"/>
  <c r="AB160" i="5"/>
  <c r="AB268" i="5"/>
  <c r="AB276" i="5" s="1"/>
  <c r="AB280" i="5" s="1"/>
  <c r="AB283" i="5" s="1"/>
  <c r="AB393" i="5"/>
  <c r="J191" i="6"/>
  <c r="J184" i="6"/>
  <c r="J190" i="6"/>
  <c r="K184" i="6"/>
  <c r="N309" i="2"/>
  <c r="O218" i="2"/>
  <c r="N232" i="6"/>
  <c r="N219" i="2" s="1"/>
  <c r="O232" i="6"/>
  <c r="O219" i="2" s="1"/>
  <c r="P232" i="6"/>
  <c r="M234" i="2"/>
  <c r="N237" i="2"/>
  <c r="M308" i="2"/>
  <c r="M233" i="2"/>
  <c r="M237" i="2"/>
  <c r="M322" i="2"/>
  <c r="M325" i="2"/>
  <c r="M326" i="2"/>
  <c r="M229" i="2"/>
  <c r="N322" i="2"/>
  <c r="K124" i="2"/>
  <c r="K300" i="2"/>
  <c r="L299" i="2"/>
  <c r="O308" i="2"/>
  <c r="P237" i="2"/>
  <c r="O234" i="2"/>
  <c r="O233" i="2"/>
  <c r="P322" i="2"/>
  <c r="O322" i="2"/>
  <c r="M177" i="6"/>
  <c r="O177" i="6"/>
  <c r="O237" i="2"/>
  <c r="N218" i="2"/>
  <c r="Y124" i="2"/>
  <c r="AA233" i="2"/>
  <c r="AD237" i="2"/>
  <c r="AB218" i="2"/>
  <c r="AB237" i="2"/>
  <c r="Y300" i="2"/>
  <c r="AC234" i="2"/>
  <c r="AA326" i="2"/>
  <c r="AA234" i="2"/>
  <c r="AA322" i="2"/>
  <c r="Z299" i="2"/>
  <c r="AC308" i="2"/>
  <c r="AA237" i="2"/>
  <c r="AD322" i="2"/>
  <c r="AC322" i="2"/>
  <c r="AC218" i="2"/>
  <c r="AB322" i="2"/>
  <c r="AA325" i="2"/>
  <c r="AC237" i="2"/>
  <c r="AB309" i="2"/>
  <c r="AA308" i="2"/>
  <c r="AC233" i="2"/>
  <c r="AC279" i="5" l="1"/>
  <c r="AC385" i="5" s="1"/>
  <c r="AB284" i="5"/>
  <c r="AB289" i="5"/>
  <c r="AB333" i="5"/>
  <c r="AC391" i="5"/>
  <c r="AB405" i="5"/>
  <c r="AB411" i="5" s="1"/>
  <c r="AC412" i="5" s="1"/>
  <c r="AB308" i="5"/>
  <c r="O309" i="2"/>
  <c r="O190" i="6"/>
  <c r="O185" i="6"/>
  <c r="P173" i="6"/>
  <c r="P190" i="6" s="1"/>
  <c r="P185" i="6"/>
  <c r="P219" i="2"/>
  <c r="P241" i="6"/>
  <c r="L301" i="2"/>
  <c r="K136" i="2" a="1"/>
  <c r="K136" i="2" s="1"/>
  <c r="M190" i="6"/>
  <c r="M185" i="6"/>
  <c r="N173" i="6"/>
  <c r="N190" i="6" s="1"/>
  <c r="N185" i="6"/>
  <c r="N194" i="6"/>
  <c r="N182" i="2" s="1"/>
  <c r="O194" i="6"/>
  <c r="O182" i="2" s="1"/>
  <c r="M309" i="2"/>
  <c r="AA309" i="2"/>
  <c r="AC182" i="2"/>
  <c r="AB182" i="2"/>
  <c r="Z301" i="2"/>
  <c r="Y136" i="2"/>
  <c r="AC309" i="2"/>
  <c r="AB430" i="5" l="1"/>
  <c r="AB316" i="5"/>
  <c r="AB326" i="5" s="1"/>
  <c r="AB294" i="5"/>
  <c r="AB305" i="5" s="1"/>
  <c r="AB417" i="5"/>
  <c r="AC418" i="5" s="1"/>
  <c r="AB431" i="5"/>
  <c r="O187" i="2"/>
  <c r="O281" i="2"/>
  <c r="O232" i="2"/>
  <c r="N281" i="2"/>
  <c r="N187" i="2"/>
  <c r="N232" i="2"/>
  <c r="M282" i="6"/>
  <c r="O282" i="6"/>
  <c r="M199" i="6"/>
  <c r="M242" i="6" s="1"/>
  <c r="N199" i="6"/>
  <c r="N242" i="6" s="1"/>
  <c r="O199" i="6"/>
  <c r="O242" i="6" s="1"/>
  <c r="AC187" i="2"/>
  <c r="AB281" i="2"/>
  <c r="AC232" i="2"/>
  <c r="AB232" i="2"/>
  <c r="AC281" i="2"/>
  <c r="AB187" i="2"/>
  <c r="AB334" i="5" l="1"/>
  <c r="AB6" i="5" s="1"/>
  <c r="AC424" i="5"/>
  <c r="AC121" i="5" s="1"/>
  <c r="AB433" i="5"/>
  <c r="N210" i="6"/>
  <c r="O210" i="6"/>
  <c r="N285" i="6"/>
  <c r="O285" i="6"/>
  <c r="N325" i="2"/>
  <c r="N327" i="2"/>
  <c r="N326" i="2"/>
  <c r="N336" i="2"/>
  <c r="M283" i="6"/>
  <c r="N283" i="6"/>
  <c r="O283" i="6"/>
  <c r="N197" i="2"/>
  <c r="O280" i="2"/>
  <c r="O325" i="2"/>
  <c r="O327" i="2"/>
  <c r="O326" i="2"/>
  <c r="O336" i="2"/>
  <c r="P280" i="2"/>
  <c r="O197" i="2"/>
  <c r="AB326" i="2"/>
  <c r="AC280" i="2"/>
  <c r="AB197" i="2"/>
  <c r="AC325" i="2"/>
  <c r="AC336" i="2"/>
  <c r="AC197" i="2"/>
  <c r="AB325" i="2"/>
  <c r="AC326" i="2"/>
  <c r="AC327" i="2"/>
  <c r="AD280" i="2"/>
  <c r="AB336" i="2"/>
  <c r="AB327" i="2"/>
  <c r="AC423" i="5" l="1"/>
  <c r="AC426" i="5"/>
  <c r="AC123" i="5"/>
  <c r="AB436" i="5"/>
  <c r="AB439" i="5" s="1"/>
  <c r="AB443" i="5" s="1"/>
  <c r="AB442" i="5"/>
  <c r="AC250" i="5"/>
  <c r="O241" i="6"/>
  <c r="O198" i="2"/>
  <c r="O236" i="2"/>
  <c r="N229" i="2"/>
  <c r="N231" i="2"/>
  <c r="O323" i="2"/>
  <c r="N236" i="2"/>
  <c r="N323" i="2"/>
  <c r="O229" i="2"/>
  <c r="O231" i="2"/>
  <c r="P236" i="2"/>
  <c r="P323" i="2"/>
  <c r="M286" i="6"/>
  <c r="N286" i="6"/>
  <c r="O286" i="6"/>
  <c r="P286" i="6"/>
  <c r="N241" i="6"/>
  <c r="N198" i="2"/>
  <c r="AD236" i="2"/>
  <c r="AB236" i="2"/>
  <c r="AC236" i="2"/>
  <c r="AB323" i="2"/>
  <c r="AC231" i="2"/>
  <c r="AB231" i="2"/>
  <c r="AC323" i="2"/>
  <c r="AD323" i="2"/>
  <c r="AC242" i="5" l="1"/>
  <c r="AC124" i="5" s="1"/>
  <c r="AC251" i="5" s="1"/>
  <c r="AC255" i="5" s="1"/>
  <c r="AC137" i="5"/>
  <c r="O319" i="2"/>
  <c r="N319" i="2"/>
  <c r="AB319" i="2"/>
  <c r="AC319" i="2"/>
  <c r="AC126" i="5" l="1"/>
  <c r="J167" i="6"/>
  <c r="O321" i="2"/>
  <c r="O320" i="2"/>
  <c r="N320" i="2"/>
  <c r="N321" i="2"/>
  <c r="P321" i="2"/>
  <c r="P320" i="2"/>
  <c r="AC320" i="2"/>
  <c r="AD320" i="2"/>
  <c r="AB320" i="2"/>
  <c r="AC321" i="2"/>
  <c r="AB321" i="2"/>
  <c r="AD321" i="2"/>
  <c r="AC128" i="5" l="1"/>
  <c r="AC471" i="5"/>
  <c r="AC138" i="5"/>
  <c r="AC146" i="5"/>
  <c r="J269" i="2"/>
  <c r="J189" i="6"/>
  <c r="X269" i="2"/>
  <c r="AC157" i="5" l="1"/>
  <c r="AC149" i="5"/>
  <c r="AC470" i="5"/>
  <c r="AC272" i="5"/>
  <c r="AC387" i="5" s="1"/>
  <c r="AC388" i="5" s="1"/>
  <c r="AC392" i="5" s="1"/>
  <c r="J272" i="2"/>
  <c r="X272" i="2"/>
  <c r="AC268" i="5" l="1"/>
  <c r="AC276" i="5" s="1"/>
  <c r="AC280" i="5" s="1"/>
  <c r="AC283" i="5" s="1"/>
  <c r="AC393" i="5"/>
  <c r="AC160" i="5"/>
  <c r="AC473" i="5"/>
  <c r="AC169" i="5"/>
  <c r="AC330" i="5"/>
  <c r="AC333" i="5" s="1"/>
  <c r="AC155" i="5"/>
  <c r="J273" i="2"/>
  <c r="J282" i="2"/>
  <c r="J276" i="2"/>
  <c r="X276" i="2"/>
  <c r="AC405" i="5" l="1"/>
  <c r="AC411" i="5" s="1"/>
  <c r="AD412" i="5" s="1"/>
  <c r="AC308" i="5"/>
  <c r="AD391" i="5"/>
  <c r="AD279" i="5"/>
  <c r="AD385" i="5" s="1"/>
  <c r="AC284" i="5"/>
  <c r="AC289" i="5"/>
  <c r="AC431" i="5" l="1"/>
  <c r="AC417" i="5"/>
  <c r="AD418" i="5" s="1"/>
  <c r="AC294" i="5"/>
  <c r="AC305" i="5" s="1"/>
  <c r="AC430" i="5"/>
  <c r="AC433" i="5" s="1"/>
  <c r="AC316" i="5"/>
  <c r="AC326" i="5" s="1"/>
  <c r="AD424" i="5"/>
  <c r="AC334" i="5" l="1"/>
  <c r="AC6" i="5" s="1"/>
  <c r="AD121" i="5"/>
  <c r="AD123" i="5" s="1"/>
  <c r="AD250" i="5"/>
  <c r="AD426" i="5"/>
  <c r="AD423" i="5"/>
  <c r="AC442" i="5"/>
  <c r="AC436" i="5"/>
  <c r="AC439" i="5" s="1"/>
  <c r="AC443" i="5" s="1"/>
  <c r="AD242" i="5" l="1"/>
  <c r="AD124" i="5" s="1"/>
  <c r="AD251" i="5" s="1"/>
  <c r="AD255" i="5" s="1"/>
  <c r="AD137" i="5"/>
  <c r="AD126" i="5" l="1"/>
  <c r="AD128" i="5" l="1"/>
  <c r="AD138" i="5"/>
  <c r="AD471" i="5"/>
  <c r="AD146" i="5"/>
  <c r="AD157" i="5" l="1"/>
  <c r="AD149" i="5"/>
  <c r="AD272" i="5"/>
  <c r="AD387" i="5" s="1"/>
  <c r="AD388" i="5" s="1"/>
  <c r="AD392" i="5" s="1"/>
  <c r="AD470" i="5"/>
  <c r="AD473" i="5" l="1"/>
  <c r="AD160" i="5"/>
  <c r="AD155" i="5"/>
  <c r="AD330" i="5"/>
  <c r="AD333" i="5" s="1"/>
  <c r="AD169" i="5"/>
  <c r="AD268" i="5"/>
  <c r="AD276" i="5" s="1"/>
  <c r="AD280" i="5" s="1"/>
  <c r="AD283" i="5" s="1"/>
  <c r="AD393" i="5"/>
  <c r="AD405" i="5" l="1"/>
  <c r="AD411" i="5" s="1"/>
  <c r="AE412" i="5" s="1"/>
  <c r="AD308" i="5"/>
  <c r="AE391" i="5"/>
  <c r="AD289" i="5"/>
  <c r="AD284" i="5"/>
  <c r="AE279" i="5"/>
  <c r="AE385" i="5" s="1"/>
  <c r="AD417" i="5" l="1"/>
  <c r="AE418" i="5" s="1"/>
  <c r="AE424" i="5" s="1"/>
  <c r="AD431" i="5"/>
  <c r="AD294" i="5"/>
  <c r="AD305" i="5" s="1"/>
  <c r="AD430" i="5"/>
  <c r="AD433" i="5" s="1"/>
  <c r="AD316" i="5"/>
  <c r="AD326" i="5" s="1"/>
  <c r="AD334" i="5" s="1"/>
  <c r="AD6" i="5" s="1"/>
  <c r="AD442" i="5" l="1"/>
  <c r="AD436" i="5"/>
  <c r="AD439" i="5" s="1"/>
  <c r="AD443" i="5" s="1"/>
  <c r="AE121" i="5"/>
  <c r="AE123" i="5" s="1"/>
  <c r="AE423" i="5"/>
  <c r="AE250" i="5"/>
  <c r="AE426" i="5"/>
  <c r="AE137" i="5" l="1"/>
  <c r="AE242" i="5"/>
  <c r="AE124" i="5" s="1"/>
  <c r="AE251" i="5" s="1"/>
  <c r="AE255" i="5" s="1"/>
  <c r="AE126" i="5" l="1"/>
  <c r="AE128" i="5" s="1"/>
  <c r="AE146" i="5" l="1"/>
  <c r="AE157" i="5" s="1"/>
  <c r="AE471" i="5"/>
  <c r="AE470" i="5" s="1"/>
  <c r="AE138" i="5"/>
  <c r="AE149" i="5"/>
  <c r="AE272" i="5"/>
  <c r="AE387" i="5" s="1"/>
  <c r="AE388" i="5" s="1"/>
  <c r="AE392" i="5" s="1"/>
  <c r="AE268" i="5" l="1"/>
  <c r="AE276" i="5" s="1"/>
  <c r="AE280" i="5" s="1"/>
  <c r="AE283" i="5" s="1"/>
  <c r="AE393" i="5"/>
  <c r="AE160" i="5"/>
  <c r="AE473" i="5"/>
  <c r="AE155" i="5"/>
  <c r="AE169" i="5"/>
  <c r="AE330" i="5"/>
  <c r="AE333" i="5" s="1"/>
  <c r="AE405" i="5" l="1"/>
  <c r="AE411" i="5" s="1"/>
  <c r="AF412" i="5" s="1"/>
  <c r="AF391" i="5"/>
  <c r="AE308" i="5"/>
  <c r="AE284" i="5"/>
  <c r="AF279" i="5"/>
  <c r="AF385" i="5" s="1"/>
  <c r="AE289" i="5"/>
  <c r="AE417" i="5" l="1"/>
  <c r="AF418" i="5" s="1"/>
  <c r="AF424" i="5" s="1"/>
  <c r="AE294" i="5"/>
  <c r="AE305" i="5" s="1"/>
  <c r="AE431" i="5"/>
  <c r="AE316" i="5"/>
  <c r="AE326" i="5" s="1"/>
  <c r="AE430" i="5"/>
  <c r="AE433" i="5" s="1"/>
  <c r="AE334" i="5" l="1"/>
  <c r="AE6" i="5" s="1"/>
  <c r="AF423" i="5"/>
  <c r="AF426" i="5"/>
  <c r="AF121" i="5"/>
  <c r="AF123" i="5" s="1"/>
  <c r="AF250" i="5"/>
  <c r="AE436" i="5"/>
  <c r="AE439" i="5" s="1"/>
  <c r="AE443" i="5" s="1"/>
  <c r="AE442" i="5"/>
  <c r="AF242" i="5" l="1"/>
  <c r="AF124" i="5" s="1"/>
  <c r="AF251" i="5" s="1"/>
  <c r="AF255" i="5" s="1"/>
  <c r="AF137" i="5"/>
  <c r="AF126" i="5" l="1"/>
  <c r="AF138" i="5" s="1"/>
  <c r="AF128" i="5" l="1"/>
  <c r="AF471" i="5"/>
  <c r="AF146" i="5"/>
  <c r="AF157" i="5" s="1"/>
  <c r="AF272" i="5"/>
  <c r="AF387" i="5" s="1"/>
  <c r="AF388" i="5" s="1"/>
  <c r="AF392" i="5" s="1"/>
  <c r="AF470" i="5"/>
  <c r="AF149" i="5"/>
  <c r="AF473" i="5" l="1"/>
  <c r="AF160" i="5"/>
  <c r="AF155" i="5"/>
  <c r="AF169" i="5"/>
  <c r="AF330" i="5"/>
  <c r="AF333" i="5" s="1"/>
  <c r="AF393" i="5"/>
  <c r="AF268" i="5"/>
  <c r="AF276" i="5" s="1"/>
  <c r="AF280" i="5" s="1"/>
  <c r="AF283" i="5" s="1"/>
  <c r="AF405" i="5" l="1"/>
  <c r="AF411" i="5" s="1"/>
  <c r="AG412" i="5" s="1"/>
  <c r="AG391" i="5"/>
  <c r="AF308" i="5"/>
  <c r="AF284" i="5"/>
  <c r="AF289" i="5"/>
  <c r="AG279" i="5"/>
  <c r="AG385" i="5" s="1"/>
  <c r="AF417" i="5" l="1"/>
  <c r="AG418" i="5" s="1"/>
  <c r="AF294" i="5"/>
  <c r="AF305" i="5" s="1"/>
  <c r="AF431" i="5"/>
  <c r="AF430" i="5"/>
  <c r="AF316" i="5"/>
  <c r="AF326" i="5" s="1"/>
  <c r="AF334" i="5" s="1"/>
  <c r="AF6" i="5" s="1"/>
  <c r="AG424" i="5"/>
  <c r="AF433" i="5" l="1"/>
  <c r="AF436" i="5" s="1"/>
  <c r="AF439" i="5" s="1"/>
  <c r="AF443" i="5" s="1"/>
  <c r="AG426" i="5"/>
  <c r="AG423" i="5"/>
  <c r="AG121" i="5"/>
  <c r="AG123" i="5" s="1"/>
  <c r="AG250" i="5"/>
  <c r="AF442" i="5"/>
  <c r="AG137" i="5" l="1"/>
  <c r="AG242" i="5"/>
  <c r="AG124" i="5" s="1"/>
  <c r="AG251" i="5" s="1"/>
  <c r="AG255" i="5" s="1"/>
  <c r="AG126" i="5" l="1"/>
  <c r="AG128" i="5" l="1"/>
  <c r="AG471" i="5"/>
  <c r="AG138" i="5"/>
  <c r="AG146" i="5"/>
  <c r="AG157" i="5" l="1"/>
  <c r="AG149" i="5"/>
  <c r="AG470" i="5"/>
  <c r="AG272" i="5"/>
  <c r="AG387" i="5" s="1"/>
  <c r="AG388" i="5" s="1"/>
  <c r="AG392" i="5" s="1"/>
  <c r="AG268" i="5" l="1"/>
  <c r="AG276" i="5" s="1"/>
  <c r="AG280" i="5" s="1"/>
  <c r="AG283" i="5" s="1"/>
  <c r="AG393" i="5"/>
  <c r="AG160" i="5"/>
  <c r="AG473" i="5"/>
  <c r="AG169" i="5"/>
  <c r="AG155" i="5"/>
  <c r="AG330" i="5"/>
  <c r="AG333" i="5" s="1"/>
  <c r="AG405" i="5" l="1"/>
  <c r="AG411" i="5" s="1"/>
  <c r="AH412" i="5" s="1"/>
  <c r="AH391" i="5"/>
  <c r="AG308" i="5"/>
  <c r="AG289" i="5"/>
  <c r="AG284" i="5"/>
  <c r="AH279" i="5"/>
  <c r="AH385" i="5" s="1"/>
  <c r="AG431" i="5" l="1"/>
  <c r="AG417" i="5"/>
  <c r="AH418" i="5" s="1"/>
  <c r="AG294" i="5"/>
  <c r="AG305" i="5" s="1"/>
  <c r="AG316" i="5"/>
  <c r="AG326" i="5" s="1"/>
  <c r="AG334" i="5" s="1"/>
  <c r="AG6" i="5" s="1"/>
  <c r="AG430" i="5"/>
  <c r="AH424" i="5"/>
  <c r="AG433" i="5" l="1"/>
  <c r="AH250" i="5"/>
  <c r="AH426" i="5"/>
  <c r="AH121" i="5"/>
  <c r="AH423" i="5"/>
  <c r="AG442" i="5"/>
  <c r="AG436" i="5"/>
  <c r="AG439" i="5" s="1"/>
  <c r="AG443" i="5" s="1"/>
  <c r="AH123" i="5" l="1"/>
  <c r="AH242" i="5" s="1"/>
  <c r="AH124" i="5" s="1"/>
  <c r="AH251" i="5" s="1"/>
  <c r="AH255" i="5" s="1"/>
  <c r="AH126" i="5" l="1"/>
  <c r="AH128" i="5" s="1"/>
  <c r="AH137" i="5"/>
  <c r="AH471" i="5"/>
  <c r="AH146" i="5" l="1"/>
  <c r="AH138" i="5"/>
  <c r="AH272" i="5"/>
  <c r="AH387" i="5" s="1"/>
  <c r="AH388" i="5" s="1"/>
  <c r="AH392" i="5" s="1"/>
  <c r="AH470" i="5"/>
  <c r="AH157" i="5"/>
  <c r="AH149" i="5"/>
  <c r="AH473" i="5" l="1"/>
  <c r="AH160" i="5"/>
  <c r="AH169" i="5"/>
  <c r="AH330" i="5"/>
  <c r="AH333" i="5" s="1"/>
  <c r="AH155" i="5"/>
  <c r="AH268" i="5"/>
  <c r="AH276" i="5" s="1"/>
  <c r="AH280" i="5" s="1"/>
  <c r="AH283" i="5" s="1"/>
  <c r="AH393" i="5"/>
  <c r="AI391" i="5" l="1"/>
  <c r="AH405" i="5"/>
  <c r="AH411" i="5" s="1"/>
  <c r="AI412" i="5" s="1"/>
  <c r="AH308" i="5"/>
  <c r="AI279" i="5"/>
  <c r="AI385" i="5" s="1"/>
  <c r="AH284" i="5"/>
  <c r="AH289" i="5"/>
  <c r="AH431" i="5" l="1"/>
  <c r="AH417" i="5"/>
  <c r="AI418" i="5" s="1"/>
  <c r="AI424" i="5" s="1"/>
  <c r="AH294" i="5"/>
  <c r="AH305" i="5" s="1"/>
  <c r="AH430" i="5"/>
  <c r="AH433" i="5" s="1"/>
  <c r="AH316" i="5"/>
  <c r="AH326" i="5" s="1"/>
  <c r="AH334" i="5" l="1"/>
  <c r="AH6" i="5" s="1"/>
  <c r="AI121" i="5"/>
  <c r="AI123" i="5" s="1"/>
  <c r="AI426" i="5"/>
  <c r="AI423" i="5"/>
  <c r="AI250" i="5"/>
  <c r="AH442" i="5"/>
  <c r="AH436" i="5"/>
  <c r="AH439" i="5" s="1"/>
  <c r="AH443" i="5" s="1"/>
  <c r="AI242" i="5" l="1"/>
  <c r="AI124" i="5" s="1"/>
  <c r="AI251" i="5" s="1"/>
  <c r="AI255" i="5" s="1"/>
  <c r="AI137" i="5"/>
  <c r="AI126" i="5" l="1"/>
  <c r="AI138" i="5" s="1"/>
  <c r="AI146" i="5"/>
  <c r="AI471" i="5"/>
  <c r="AI128" i="5" l="1"/>
  <c r="AI470" i="5"/>
  <c r="AI272" i="5"/>
  <c r="AI387" i="5" s="1"/>
  <c r="AI388" i="5" s="1"/>
  <c r="AI392" i="5" s="1"/>
  <c r="AI157" i="5"/>
  <c r="AI149" i="5"/>
  <c r="AI155" i="5" l="1"/>
  <c r="AI169" i="5"/>
  <c r="AI330" i="5"/>
  <c r="AI333" i="5" s="1"/>
  <c r="AI268" i="5"/>
  <c r="AI276" i="5" s="1"/>
  <c r="AI280" i="5" s="1"/>
  <c r="AI283" i="5" s="1"/>
  <c r="AI393" i="5"/>
  <c r="AI160" i="5"/>
  <c r="AI473" i="5"/>
  <c r="AI405" i="5" l="1"/>
  <c r="AI411" i="5" s="1"/>
  <c r="AJ412" i="5" s="1"/>
  <c r="AJ391" i="5"/>
  <c r="AI308" i="5"/>
  <c r="AJ279" i="5"/>
  <c r="AJ385" i="5" s="1"/>
  <c r="AI284" i="5"/>
  <c r="AI289" i="5"/>
  <c r="AI316" i="5" l="1"/>
  <c r="AI326" i="5" s="1"/>
  <c r="AI430" i="5"/>
  <c r="AI294" i="5"/>
  <c r="AI305" i="5" s="1"/>
  <c r="AI431" i="5"/>
  <c r="AI417" i="5"/>
  <c r="AJ418" i="5" s="1"/>
  <c r="AJ424" i="5" s="1"/>
  <c r="AJ426" i="5" l="1"/>
  <c r="AJ423" i="5"/>
  <c r="AJ250" i="5"/>
  <c r="AJ121" i="5"/>
  <c r="AJ123" i="5" s="1"/>
  <c r="AI433" i="5"/>
  <c r="AI334" i="5"/>
  <c r="AI6" i="5" s="1"/>
  <c r="AI436" i="5" l="1"/>
  <c r="AI439" i="5" s="1"/>
  <c r="AI443" i="5" s="1"/>
  <c r="AI442" i="5"/>
  <c r="AJ242" i="5"/>
  <c r="AJ124" i="5" s="1"/>
  <c r="AJ251" i="5" s="1"/>
  <c r="AJ255" i="5" s="1"/>
  <c r="AJ137" i="5"/>
  <c r="AJ126" i="5" l="1"/>
  <c r="AJ128" i="5" s="1"/>
  <c r="AJ471" i="5"/>
  <c r="AJ146" i="5" l="1"/>
  <c r="AJ138" i="5"/>
  <c r="AJ470" i="5"/>
  <c r="AJ272" i="5"/>
  <c r="AJ387" i="5" s="1"/>
  <c r="AJ388" i="5" s="1"/>
  <c r="AJ392" i="5" s="1"/>
  <c r="AJ149" i="5"/>
  <c r="AJ157" i="5"/>
  <c r="AJ169" i="5" l="1"/>
  <c r="AJ155" i="5"/>
  <c r="AJ330" i="5"/>
  <c r="AJ333" i="5" s="1"/>
  <c r="AJ268" i="5"/>
  <c r="AJ276" i="5" s="1"/>
  <c r="AJ280" i="5" s="1"/>
  <c r="AJ283" i="5" s="1"/>
  <c r="AJ393" i="5"/>
  <c r="AJ473" i="5"/>
  <c r="AJ160" i="5"/>
  <c r="AK391" i="5" l="1"/>
  <c r="AJ308" i="5"/>
  <c r="AJ405" i="5"/>
  <c r="AJ411" i="5" s="1"/>
  <c r="AK412" i="5" s="1"/>
  <c r="AK279" i="5"/>
  <c r="AK385" i="5" s="1"/>
  <c r="AJ289" i="5"/>
  <c r="AJ284" i="5"/>
  <c r="AJ431" i="5" l="1"/>
  <c r="AJ417" i="5"/>
  <c r="AK418" i="5" s="1"/>
  <c r="AJ294" i="5"/>
  <c r="AJ305" i="5" s="1"/>
  <c r="AK424" i="5"/>
  <c r="AJ430" i="5"/>
  <c r="AJ433" i="5" s="1"/>
  <c r="AJ316" i="5"/>
  <c r="AJ326" i="5" s="1"/>
  <c r="AJ334" i="5" l="1"/>
  <c r="AJ6" i="5" s="1"/>
  <c r="AJ442" i="5"/>
  <c r="AJ436" i="5"/>
  <c r="AJ439" i="5" s="1"/>
  <c r="AJ443" i="5" s="1"/>
  <c r="AK121" i="5"/>
  <c r="AK123" i="5" s="1"/>
  <c r="AK426" i="5"/>
  <c r="AK250" i="5"/>
  <c r="AK423" i="5"/>
  <c r="AK137" i="5" l="1"/>
  <c r="AK242" i="5"/>
  <c r="AK124" i="5" s="1"/>
  <c r="AK251" i="5" s="1"/>
  <c r="AK255" i="5" s="1"/>
  <c r="AK126" i="5" l="1"/>
  <c r="J77" i="6"/>
  <c r="J159" i="2" l="1"/>
  <c r="J103" i="6"/>
  <c r="AK128" i="5"/>
  <c r="AK471" i="5"/>
  <c r="AK146" i="5"/>
  <c r="AK138" i="5"/>
  <c r="X158" i="2"/>
  <c r="X159" i="2"/>
  <c r="AK157" i="5" l="1"/>
  <c r="AK149" i="5"/>
  <c r="AK272" i="5"/>
  <c r="AK387" i="5" s="1"/>
  <c r="AK388" i="5" s="1"/>
  <c r="AK392" i="5" s="1"/>
  <c r="AK470" i="5"/>
  <c r="J328" i="2"/>
  <c r="X328" i="2"/>
  <c r="AK160" i="5" l="1"/>
  <c r="AK473" i="5"/>
  <c r="AK268" i="5"/>
  <c r="AK276" i="5" s="1"/>
  <c r="AK280" i="5" s="1"/>
  <c r="AK283" i="5" s="1"/>
  <c r="AK393" i="5"/>
  <c r="AK169" i="5"/>
  <c r="AK155" i="5"/>
  <c r="AK330" i="5"/>
  <c r="AK333" i="5" s="1"/>
  <c r="J162" i="2"/>
  <c r="X162" i="2"/>
  <c r="AK308" i="5" l="1"/>
  <c r="AK405" i="5"/>
  <c r="AK411" i="5" s="1"/>
  <c r="AL412" i="5" s="1"/>
  <c r="AL391" i="5"/>
  <c r="AL279" i="5"/>
  <c r="AL385" i="5" s="1"/>
  <c r="AK284" i="5"/>
  <c r="AK289" i="5"/>
  <c r="J165" i="2"/>
  <c r="J306" i="2"/>
  <c r="X306" i="2"/>
  <c r="X165" i="2"/>
  <c r="AK294" i="5" l="1"/>
  <c r="AK305" i="5" s="1"/>
  <c r="AK431" i="5"/>
  <c r="AK417" i="5"/>
  <c r="AL418" i="5" s="1"/>
  <c r="AL424" i="5" s="1"/>
  <c r="AK430" i="5"/>
  <c r="AK433" i="5" s="1"/>
  <c r="AK316" i="5"/>
  <c r="AK326" i="5" s="1"/>
  <c r="AK334" i="5" s="1"/>
  <c r="AK6" i="5" s="1"/>
  <c r="J167" i="2"/>
  <c r="X167" i="2"/>
  <c r="AL426" i="5" l="1"/>
  <c r="AL121" i="5"/>
  <c r="AL123" i="5" s="1"/>
  <c r="AL423" i="5"/>
  <c r="AL250" i="5"/>
  <c r="AK436" i="5"/>
  <c r="AK439" i="5" s="1"/>
  <c r="AK443" i="5" s="1"/>
  <c r="AK442" i="5"/>
  <c r="J169" i="2"/>
  <c r="X169" i="2"/>
  <c r="AL137" i="5" l="1"/>
  <c r="AL242" i="5"/>
  <c r="AL124" i="5" s="1"/>
  <c r="AL251" i="5" s="1"/>
  <c r="AL255" i="5" s="1"/>
  <c r="J172" i="2"/>
  <c r="J322" i="2"/>
  <c r="J296" i="2"/>
  <c r="J316" i="2"/>
  <c r="X322" i="2"/>
  <c r="X316" i="2"/>
  <c r="X172" i="2"/>
  <c r="X296" i="2"/>
  <c r="AL126" i="5" l="1"/>
  <c r="J176" i="2"/>
  <c r="X176" i="2"/>
  <c r="AL128" i="5" l="1"/>
  <c r="AL471" i="5"/>
  <c r="AL138" i="5"/>
  <c r="AL146" i="5"/>
  <c r="J177" i="2"/>
  <c r="J298" i="2"/>
  <c r="X298" i="2"/>
  <c r="AL157" i="5" l="1"/>
  <c r="J126" i="6" s="1"/>
  <c r="J297" i="2" s="1"/>
  <c r="AL149" i="5"/>
  <c r="AL272" i="5"/>
  <c r="AL387" i="5" s="1"/>
  <c r="AL388" i="5" s="1"/>
  <c r="AL392" i="5" s="1"/>
  <c r="AL470" i="5"/>
  <c r="J299" i="2"/>
  <c r="J124" i="2"/>
  <c r="J300" i="2"/>
  <c r="K299" i="2"/>
  <c r="X299" i="2"/>
  <c r="X297" i="2"/>
  <c r="X124" i="2"/>
  <c r="X300" i="2"/>
  <c r="Y299" i="2"/>
  <c r="AL393" i="5" l="1"/>
  <c r="AL268" i="5"/>
  <c r="AL276" i="5" s="1"/>
  <c r="AL280" i="5" s="1"/>
  <c r="AL283" i="5" s="1"/>
  <c r="AL330" i="5"/>
  <c r="AL333" i="5" s="1"/>
  <c r="AL169" i="5"/>
  <c r="AL155" i="5"/>
  <c r="J124" i="6" s="1"/>
  <c r="AL473" i="5"/>
  <c r="AL160" i="5"/>
  <c r="J129" i="6" s="1"/>
  <c r="J302" i="2" s="1"/>
  <c r="K301" i="2"/>
  <c r="J301" i="2"/>
  <c r="J136" i="2" a="1"/>
  <c r="J136" i="2" s="1"/>
  <c r="Z35" i="4"/>
  <c r="X302" i="2"/>
  <c r="X301" i="2"/>
  <c r="Y301" i="2"/>
  <c r="X136" i="2"/>
  <c r="J125" i="2" l="1"/>
  <c r="J303" i="2"/>
  <c r="AL289" i="5"/>
  <c r="AL284" i="5"/>
  <c r="AL405" i="5"/>
  <c r="AL411" i="5" s="1"/>
  <c r="AL308" i="5"/>
  <c r="Z41" i="4"/>
  <c r="R8" i="16"/>
  <c r="R9" i="16" s="1"/>
  <c r="DC9" i="16" s="1"/>
  <c r="K67" i="5"/>
  <c r="Z43" i="4"/>
  <c r="X303" i="2"/>
  <c r="X125" i="2"/>
  <c r="J137" i="2" l="1" a="1"/>
  <c r="J137" i="2" s="1"/>
  <c r="AL430" i="5"/>
  <c r="AL316" i="5"/>
  <c r="AL326" i="5" s="1"/>
  <c r="AL294" i="5"/>
  <c r="AL305" i="5" s="1"/>
  <c r="AL431" i="5"/>
  <c r="AL417" i="5"/>
  <c r="Z42" i="4"/>
  <c r="R10" i="16"/>
  <c r="K74" i="5"/>
  <c r="X137" i="2"/>
  <c r="AL334" i="5" l="1"/>
  <c r="AL6" i="5" s="1"/>
  <c r="C6" i="5" s="1"/>
  <c r="AL433" i="5"/>
  <c r="R19" i="16"/>
  <c r="DC19" i="16" s="1"/>
  <c r="R11" i="16"/>
  <c r="DC11" i="16" s="1"/>
  <c r="R20" i="16"/>
  <c r="DC20" i="16" s="1"/>
  <c r="AL436" i="5" l="1"/>
  <c r="AL439" i="5" s="1"/>
  <c r="AL443" i="5" s="1"/>
  <c r="AL442" i="5"/>
  <c r="I36" i="6"/>
  <c r="J207" i="5"/>
  <c r="J20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AIPL</author>
    <author>Julian Mulcahy</author>
  </authors>
  <commentList>
    <comment ref="A4" authorId="0" shapeId="0" xr:uid="{00000000-0006-0000-0100-000001000000}">
      <text>
        <r>
          <rPr>
            <sz val="11"/>
            <color theme="1"/>
            <rFont val="Calibri"/>
            <family val="2"/>
            <scheme val="minor"/>
          </rPr>
          <t>Please do not delete or remove.</t>
        </r>
      </text>
    </comment>
    <comment ref="D4" authorId="0" shapeId="0" xr:uid="{00000000-0006-0000-0100-000002000000}">
      <text>
        <r>
          <rPr>
            <sz val="11"/>
            <color theme="1"/>
            <rFont val="Calibri"/>
            <family val="2"/>
            <scheme val="minor"/>
          </rPr>
          <t>Please do not delete or remove.</t>
        </r>
      </text>
    </comment>
    <comment ref="C5" authorId="0" shapeId="0" xr:uid="{00000000-0006-0000-0100-000003000000}">
      <text>
        <r>
          <rPr>
            <sz val="11"/>
            <color theme="1"/>
            <rFont val="Calibri"/>
            <family val="2"/>
            <scheme val="minor"/>
          </rPr>
          <t>Input the Instrument type code for which the information is being uploaded. The code acceptable is: 
EQ=Equity</t>
        </r>
      </text>
    </comment>
    <comment ref="C6" authorId="0" shapeId="0" xr:uid="{00000000-0006-0000-0100-000004000000}">
      <text>
        <r>
          <rPr>
            <sz val="11"/>
            <color theme="1"/>
            <rFont val="Calibri"/>
            <family val="2"/>
            <scheme val="minor"/>
          </rPr>
          <t>Input the Instrument Code Type based on the database vendor ticker code used. The acceptable code is:
@BB=Bloomberg</t>
        </r>
      </text>
    </comment>
    <comment ref="C8" authorId="0" shapeId="0" xr:uid="{00000000-0006-0000-0100-000005000000}">
      <text>
        <r>
          <rPr>
            <sz val="11"/>
            <color theme="1"/>
            <rFont val="Calibri"/>
            <family val="2"/>
            <scheme val="minor"/>
          </rPr>
          <t>Input the full "Instrument ticker Code" as provided by Bloomberg. For e.g.,: "ABC AU Equity" for Adelaide Brighton Ltd.</t>
        </r>
      </text>
    </comment>
    <comment ref="C9" authorId="0" shapeId="0" xr:uid="{00000000-0006-0000-0100-000006000000}">
      <text>
        <r>
          <rPr>
            <sz val="11"/>
            <color theme="1"/>
            <rFont val="Calibri"/>
            <family val="2"/>
            <scheme val="minor"/>
          </rPr>
          <t>Please choose the Reporting Multiplier in which the numbers are denominated in the financial model.</t>
        </r>
      </text>
    </comment>
    <comment ref="C11" authorId="0" shapeId="0" xr:uid="{00000000-0006-0000-0100-000007000000}">
      <text>
        <r>
          <rPr>
            <sz val="11"/>
            <color theme="1"/>
            <rFont val="Calibri"/>
            <family val="2"/>
            <scheme val="minor"/>
          </rPr>
          <t>Input the lead Analyst's system username for the Analec system.</t>
        </r>
      </text>
    </comment>
    <comment ref="C15" authorId="0" shapeId="0" xr:uid="{00000000-0006-0000-0100-000008000000}">
      <text>
        <r>
          <rPr>
            <sz val="11"/>
            <color theme="1"/>
            <rFont val="Calibri"/>
            <family val="2"/>
            <scheme val="minor"/>
          </rPr>
          <t>This sharecount would be used for the computation of Market Cap. Please enter full value for e.g., if the sharecount is 2 million then enter 20,000,000.</t>
        </r>
      </text>
    </comment>
    <comment ref="C38" authorId="1" shapeId="0" xr:uid="{00000000-0006-0000-0100-000009000000}">
      <text>
        <r>
          <rPr>
            <sz val="11"/>
            <color theme="1"/>
            <rFont val="Calibri"/>
            <family val="2"/>
            <scheme val="minor"/>
          </rPr>
          <t>AIPL: Input the Valuation - SOTP</t>
        </r>
      </text>
    </comment>
    <comment ref="C43" authorId="1" shapeId="0" xr:uid="{00000000-0006-0000-0100-00000A000000}">
      <text>
        <r>
          <rPr>
            <sz val="11"/>
            <color theme="1"/>
            <rFont val="Calibri"/>
            <family val="2"/>
            <scheme val="minor"/>
          </rPr>
          <t>AIPL: Input the SOTP Weightage</t>
        </r>
      </text>
    </comment>
    <comment ref="C52" authorId="1" shapeId="0" xr:uid="{00000000-0006-0000-0100-00000B000000}">
      <text>
        <r>
          <rPr>
            <sz val="11"/>
            <color theme="1"/>
            <rFont val="Calibri"/>
            <family val="2"/>
            <scheme val="minor"/>
          </rPr>
          <t>AIPL: Input the Name of Segment 7</t>
        </r>
      </text>
    </comment>
    <comment ref="C53" authorId="1" shapeId="0" xr:uid="{00000000-0006-0000-0100-00000C000000}">
      <text>
        <r>
          <rPr>
            <sz val="11"/>
            <color theme="1"/>
            <rFont val="Calibri"/>
            <family val="2"/>
            <scheme val="minor"/>
          </rPr>
          <t>AIPL: Input the Name of Segment 8</t>
        </r>
      </text>
    </comment>
    <comment ref="C54" authorId="1" shapeId="0" xr:uid="{00000000-0006-0000-0100-00000D000000}">
      <text>
        <r>
          <rPr>
            <sz val="11"/>
            <color theme="1"/>
            <rFont val="Calibri"/>
            <family val="2"/>
            <scheme val="minor"/>
          </rPr>
          <t>AIPL: Input the Name of Segment 9</t>
        </r>
      </text>
    </comment>
    <comment ref="C55" authorId="1" shapeId="0" xr:uid="{00000000-0006-0000-0100-00000E000000}">
      <text>
        <r>
          <rPr>
            <sz val="11"/>
            <color theme="1"/>
            <rFont val="Calibri"/>
            <family val="2"/>
            <scheme val="minor"/>
          </rPr>
          <t>AIPL: Input the Name of Segment 10</t>
        </r>
      </text>
    </comment>
    <comment ref="C62" authorId="0" shapeId="0" xr:uid="{00000000-0006-0000-0100-00000F000000}">
      <text>
        <r>
          <rPr>
            <sz val="11"/>
            <color theme="1"/>
            <rFont val="Calibri"/>
            <family val="2"/>
            <scheme val="minor"/>
          </rPr>
          <t>Enter text in Column D alongside.
This would appear as 1st bullet point under Core Driver Section on the Stock Focus Report.</t>
        </r>
      </text>
    </comment>
    <comment ref="C63" authorId="0" shapeId="0" xr:uid="{00000000-0006-0000-0100-000010000000}">
      <text>
        <r>
          <rPr>
            <sz val="11"/>
            <color theme="1"/>
            <rFont val="Calibri"/>
            <family val="2"/>
            <scheme val="minor"/>
          </rPr>
          <t>Enter text in Column D alongside.
This would appear as 2nd bullet point under Core Driver Section on the Stock Focus Report.</t>
        </r>
      </text>
    </comment>
    <comment ref="C64" authorId="0" shapeId="0" xr:uid="{00000000-0006-0000-0100-000011000000}">
      <text>
        <r>
          <rPr>
            <sz val="11"/>
            <color theme="1"/>
            <rFont val="Calibri"/>
            <family val="2"/>
            <scheme val="minor"/>
          </rPr>
          <t>Enter text in Column D alongside.
This would appear as 3rd bullet point under Core Driver Section on the Stock Focus Report.</t>
        </r>
      </text>
    </comment>
    <comment ref="C65" authorId="0" shapeId="0" xr:uid="{00000000-0006-0000-0100-000012000000}">
      <text>
        <r>
          <rPr>
            <sz val="11"/>
            <color theme="1"/>
            <rFont val="Calibri"/>
            <family val="2"/>
            <scheme val="minor"/>
          </rPr>
          <t>Enter text in Column D alongside.
This would appear as 4th bullet point under Core Driver Section on the Stock Focus Report.</t>
        </r>
      </text>
    </comment>
    <comment ref="C66" authorId="0" shapeId="0" xr:uid="{00000000-0006-0000-0100-000013000000}">
      <text>
        <r>
          <rPr>
            <sz val="11"/>
            <color theme="1"/>
            <rFont val="Calibri"/>
            <family val="2"/>
            <scheme val="minor"/>
          </rPr>
          <t>Enter text in Column D alongside.
This would appear as 5th bullet point under Core Driver Section on the Stock Focus Report.</t>
        </r>
      </text>
    </comment>
    <comment ref="C68" authorId="0" shapeId="0" xr:uid="{00000000-0006-0000-0100-000014000000}">
      <text>
        <r>
          <rPr>
            <sz val="11"/>
            <color theme="1"/>
            <rFont val="Calibri"/>
            <family val="2"/>
            <scheme val="minor"/>
          </rPr>
          <t>Enter text in Column D alongside.
This would appear as 1st bullet point under Investment Thesis Section on the Stock Focus Report.</t>
        </r>
      </text>
    </comment>
    <comment ref="C69" authorId="0" shapeId="0" xr:uid="{00000000-0006-0000-0100-000015000000}">
      <text>
        <r>
          <rPr>
            <sz val="11"/>
            <color theme="1"/>
            <rFont val="Calibri"/>
            <family val="2"/>
            <scheme val="minor"/>
          </rPr>
          <t>Enter text in Column D alongside.
This would appear as 2nd bullet point under Investment Thesis Section on the Stock Focus Report.</t>
        </r>
      </text>
    </comment>
    <comment ref="C70" authorId="0" shapeId="0" xr:uid="{00000000-0006-0000-0100-000016000000}">
      <text>
        <r>
          <rPr>
            <sz val="11"/>
            <color theme="1"/>
            <rFont val="Calibri"/>
            <family val="2"/>
            <scheme val="minor"/>
          </rPr>
          <t>Enter text in Column D alongside.
This would appear as 3rd bullet point under Investment Thesis Section on the Stock Focus Report.</t>
        </r>
      </text>
    </comment>
    <comment ref="C71" authorId="0" shapeId="0" xr:uid="{00000000-0006-0000-0100-000017000000}">
      <text>
        <r>
          <rPr>
            <sz val="11"/>
            <color theme="1"/>
            <rFont val="Calibri"/>
            <family val="2"/>
            <scheme val="minor"/>
          </rPr>
          <t>Enter text in Column D alongside.
This would appear as 4th bullet point under Investment Thesis Section on the Stock Focus Report.</t>
        </r>
      </text>
    </comment>
    <comment ref="C72" authorId="0" shapeId="0" xr:uid="{00000000-0006-0000-0100-000018000000}">
      <text>
        <r>
          <rPr>
            <sz val="11"/>
            <color theme="1"/>
            <rFont val="Calibri"/>
            <family val="2"/>
            <scheme val="minor"/>
          </rPr>
          <t>Enter text in Column D alongside.
This would appear as 5th bullet point under Investment Thesis Section on the Stock Focus Report.</t>
        </r>
      </text>
    </comment>
    <comment ref="C74" authorId="0" shapeId="0" xr:uid="{00000000-0006-0000-0100-000019000000}">
      <text>
        <r>
          <rPr>
            <sz val="11"/>
            <color theme="1"/>
            <rFont val="Calibri"/>
            <family val="2"/>
            <scheme val="minor"/>
          </rPr>
          <t>Enter text in Column D alongside.
This would appear as 1st bullet point under Near Term Catalyst Section on the Stock Focus Report.</t>
        </r>
      </text>
    </comment>
    <comment ref="C103" authorId="0" shapeId="0" xr:uid="{00000000-0006-0000-0100-00001A000000}">
      <text>
        <r>
          <rPr>
            <sz val="11"/>
            <color theme="1"/>
            <rFont val="Calibri"/>
            <family val="2"/>
            <scheme val="minor"/>
          </rPr>
          <t>Enter the ticker of the 1st stock for which the EV/EBITDA (P/BV for Banks) needs to be shown on the Stock Focus report (Core Drivers Page).</t>
        </r>
      </text>
    </comment>
    <comment ref="C104" authorId="0" shapeId="0" xr:uid="{00000000-0006-0000-0100-00001B000000}">
      <text>
        <r>
          <rPr>
            <sz val="11"/>
            <color theme="1"/>
            <rFont val="Calibri"/>
            <family val="2"/>
            <scheme val="minor"/>
          </rPr>
          <t>Enter the ticker of the 2nd stock for which the EV/EBITDA (P/BV for Banks) needs to be shown on the Stock Focus report (Core Drivers Page).</t>
        </r>
      </text>
    </comment>
    <comment ref="C105" authorId="0" shapeId="0" xr:uid="{00000000-0006-0000-0100-00001C000000}">
      <text>
        <r>
          <rPr>
            <sz val="11"/>
            <color theme="1"/>
            <rFont val="Calibri"/>
            <family val="2"/>
            <scheme val="minor"/>
          </rPr>
          <t>Enter the ticker of the 3rd stock for which the EV/EBITDA (P/BV for Banks) needs to be shown on the Stock Focus report (Core Drivers Page).</t>
        </r>
      </text>
    </comment>
    <comment ref="C106" authorId="0" shapeId="0" xr:uid="{00000000-0006-0000-0100-00001D000000}">
      <text>
        <r>
          <rPr>
            <sz val="11"/>
            <color theme="1"/>
            <rFont val="Calibri"/>
            <family val="2"/>
            <scheme val="minor"/>
          </rPr>
          <t>Enter the ticker of the 4th stock for which the EV/EBITDA (P/BV for Banks) needs to be shown on the Stock Focus report (Core Drivers Page).</t>
        </r>
      </text>
    </comment>
    <comment ref="C107" authorId="0" shapeId="0" xr:uid="{00000000-0006-0000-0100-00001E000000}">
      <text>
        <r>
          <rPr>
            <sz val="11"/>
            <color theme="1"/>
            <rFont val="Calibri"/>
            <family val="2"/>
            <scheme val="minor"/>
          </rPr>
          <t>Enter the ticker of the 5th stock for which the EV/EBITDA (P/BV for Banks) needs to be shown on the Stock Focus report (Core Drivers Page).</t>
        </r>
      </text>
    </comment>
    <comment ref="C108" authorId="0" shapeId="0" xr:uid="{00000000-0006-0000-0100-00001F000000}">
      <text>
        <r>
          <rPr>
            <sz val="11"/>
            <color theme="1"/>
            <rFont val="Calibri"/>
            <family val="2"/>
            <scheme val="minor"/>
          </rPr>
          <t>Enter the ticker of the 6th stock for which the EV/EBITDA (P/BV for Banks) needs to be shown on the Stock Focus report (Core Drivers Page).</t>
        </r>
      </text>
    </comment>
    <comment ref="C109" authorId="0" shapeId="0" xr:uid="{00000000-0006-0000-0100-000020000000}">
      <text>
        <r>
          <rPr>
            <sz val="11"/>
            <color theme="1"/>
            <rFont val="Calibri"/>
            <family val="2"/>
            <scheme val="minor"/>
          </rPr>
          <t xml:space="preserve">Choose the Index that will be used for relative chart. </t>
        </r>
      </text>
    </comment>
    <comment ref="A111" authorId="0" shapeId="0" xr:uid="{00000000-0006-0000-0100-000021000000}">
      <text>
        <r>
          <rPr>
            <sz val="11"/>
            <color theme="1"/>
            <rFont val="Calibri"/>
            <family val="2"/>
            <scheme val="minor"/>
          </rPr>
          <t>Please do not delete or remove.</t>
        </r>
      </text>
    </comment>
    <comment ref="C114" authorId="0" shapeId="0" xr:uid="{00000000-0006-0000-0100-000022000000}">
      <text>
        <r>
          <rPr>
            <sz val="11"/>
            <color theme="1"/>
            <rFont val="Calibri"/>
            <family val="2"/>
            <scheme val="minor"/>
          </rPr>
          <t>This is an automatic field. Please do not change the formula.</t>
        </r>
      </text>
    </comment>
    <comment ref="C115" authorId="0" shapeId="0" xr:uid="{00000000-0006-0000-0100-000023000000}">
      <text>
        <r>
          <rPr>
            <sz val="11"/>
            <color theme="1"/>
            <rFont val="Calibri"/>
            <family val="2"/>
            <scheme val="minor"/>
          </rPr>
          <t>Input the financial year for which the data would be populated below. For e.g., 2005, incase the data below in P&amp;L etc., pertains to 2005.</t>
        </r>
      </text>
    </comment>
    <comment ref="C116" authorId="0" shapeId="0" xr:uid="{00000000-0006-0000-0100-000024000000}">
      <text>
        <r>
          <rPr>
            <sz val="11"/>
            <color theme="1"/>
            <rFont val="Calibri"/>
            <family val="2"/>
            <scheme val="minor"/>
          </rPr>
          <t>Input the Accounts Status.
A = Actual
F = Forecast</t>
        </r>
      </text>
    </comment>
    <comment ref="C117" authorId="0" shapeId="0" xr:uid="{00000000-0006-0000-0100-000025000000}">
      <text>
        <r>
          <rPr>
            <sz val="11"/>
            <color theme="1"/>
            <rFont val="Calibri"/>
            <family val="2"/>
            <scheme val="minor"/>
          </rPr>
          <t>Input the reporting period code:
FY=Full Year
1Q=First Quarter
2Q=Second Quarter
3Q=Third Quarter
4Q=Fourth Quarter</t>
        </r>
      </text>
    </comment>
    <comment ref="C118" authorId="0" shapeId="0" xr:uid="{00000000-0006-0000-0100-000026000000}">
      <text>
        <r>
          <rPr>
            <sz val="11"/>
            <color theme="1"/>
            <rFont val="Calibri"/>
            <family val="2"/>
            <scheme val="minor"/>
          </rPr>
          <t>Input the three letter month code for the period in question. For e.g.,: If you are entering full year numbers for a December ending company, then enter Dec. Similary, if you are entering Q1 numbers for a December ending company, then enter Mar.</t>
        </r>
      </text>
    </comment>
    <comment ref="C344" authorId="1" shapeId="0" xr:uid="{00000000-0006-0000-0100-000027000000}">
      <text>
        <r>
          <rPr>
            <sz val="11"/>
            <color theme="1"/>
            <rFont val="Calibri"/>
            <family val="2"/>
            <scheme val="minor"/>
          </rPr>
          <t>AIPL:Input the sixth segment's revenues forecast.</t>
        </r>
      </text>
    </comment>
    <comment ref="C345" authorId="1" shapeId="0" xr:uid="{00000000-0006-0000-0100-000028000000}">
      <text>
        <r>
          <rPr>
            <sz val="11"/>
            <color theme="1"/>
            <rFont val="Calibri"/>
            <family val="2"/>
            <scheme val="minor"/>
          </rPr>
          <t>AIPL: Input the seventh segment's results forecast.</t>
        </r>
      </text>
    </comment>
    <comment ref="C346" authorId="1" shapeId="0" xr:uid="{00000000-0006-0000-0100-000029000000}">
      <text>
        <r>
          <rPr>
            <sz val="11"/>
            <color theme="1"/>
            <rFont val="Calibri"/>
            <family val="2"/>
            <scheme val="minor"/>
          </rPr>
          <t>AIPL: Input the Eighth segment's margins forecast.</t>
        </r>
      </text>
    </comment>
    <comment ref="C347" authorId="1" shapeId="0" xr:uid="{00000000-0006-0000-0100-00002A000000}">
      <text>
        <r>
          <rPr>
            <sz val="11"/>
            <color theme="1"/>
            <rFont val="Calibri"/>
            <family val="2"/>
            <scheme val="minor"/>
          </rPr>
          <t>AIPL: Input the Ninth segment's margins forecast.</t>
        </r>
      </text>
    </comment>
    <comment ref="C348" authorId="1" shapeId="0" xr:uid="{00000000-0006-0000-0100-00002B000000}">
      <text>
        <r>
          <rPr>
            <sz val="11"/>
            <color theme="1"/>
            <rFont val="Calibri"/>
            <family val="2"/>
            <scheme val="minor"/>
          </rPr>
          <t>AIPL: Input the Tenth segment's margins forecast.</t>
        </r>
      </text>
    </comment>
    <comment ref="A390" authorId="0" shapeId="0" xr:uid="{00000000-0006-0000-0100-00002C000000}">
      <text>
        <r>
          <rPr>
            <sz val="11"/>
            <color theme="1"/>
            <rFont val="Calibri"/>
            <family val="2"/>
            <scheme val="minor"/>
          </rPr>
          <t>This must be placed after the last set of data. 
Please do not delete or remove.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32" authorId="0" shapeId="0" xr:uid="{00000000-0006-0000-0300-000001000000}">
      <text>
        <r>
          <rPr>
            <sz val="11"/>
            <color theme="1"/>
            <rFont val="Calibri"/>
            <family val="2"/>
            <scheme val="minor"/>
          </rPr>
          <t>Sam Bradshaw:
Customers that have placed a cash bet in the 12 months to the end of the given period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Model review</author>
  </authors>
  <commentList>
    <comment ref="G41" authorId="0" shapeId="0" xr:uid="{00000000-0006-0000-0400-000001000000}">
      <text>
        <r>
          <rPr>
            <sz val="11"/>
            <color theme="1"/>
            <rFont val="Calibri"/>
            <family val="2"/>
            <scheme val="minor"/>
          </rPr>
          <t>Sam Bradshaw:
38% Sport</t>
        </r>
      </text>
    </comment>
    <comment ref="B78" authorId="0" shapeId="0" xr:uid="{00000000-0006-0000-0400-000002000000}">
      <text>
        <r>
          <rPr>
            <sz val="11"/>
            <color theme="1"/>
            <rFont val="Calibri"/>
            <family val="2"/>
            <scheme val="minor"/>
          </rPr>
          <t>Sam Bradshaw:
Customers that have placed a cash bet in the 12 months to the end of the given period</t>
        </r>
      </text>
    </comment>
    <comment ref="I147" authorId="0" shapeId="0" xr:uid="{00000000-0006-0000-0400-000003000000}">
      <text>
        <r>
          <rPr>
            <sz val="11"/>
            <color theme="1"/>
            <rFont val="Calibri"/>
            <family val="2"/>
            <scheme val="minor"/>
          </rPr>
          <t>Sam Bradshaw:
included in Statutory EBITDA</t>
        </r>
      </text>
    </comment>
    <comment ref="B149" authorId="0" shapeId="0" xr:uid="{00000000-0006-0000-0400-000004000000}">
      <text>
        <r>
          <rPr>
            <sz val="11"/>
            <color theme="1"/>
            <rFont val="Calibri"/>
            <family val="2"/>
            <scheme val="minor"/>
          </rPr>
          <t>Sam Bradshaw:
Accumulated Losses</t>
        </r>
      </text>
    </comment>
    <comment ref="B154" authorId="0" shapeId="0" xr:uid="{00000000-0006-0000-0400-000005000000}">
      <text>
        <r>
          <rPr>
            <sz val="11"/>
            <color theme="1"/>
            <rFont val="Calibri"/>
            <family val="2"/>
            <scheme val="minor"/>
          </rPr>
          <t>Sam Bradshaw:
&lt;&lt; Reserves</t>
        </r>
      </text>
    </comment>
    <comment ref="J176" authorId="0" shapeId="0" xr:uid="{8B9ABB3A-5ACC-4B3D-BB9A-0E9FD72D8BCE}">
      <text>
        <r>
          <rPr>
            <b/>
            <sz val="9"/>
            <color indexed="81"/>
            <rFont val="Tahoma"/>
            <family val="2"/>
          </rPr>
          <t>Sam Bradshaw:</t>
        </r>
        <r>
          <rPr>
            <sz val="9"/>
            <color indexed="81"/>
            <rFont val="Tahoma"/>
            <family val="2"/>
          </rPr>
          <t xml:space="preserve">
Other + Onerous Contracts</t>
        </r>
      </text>
    </comment>
    <comment ref="B185" authorId="0" shapeId="0" xr:uid="{00000000-0006-0000-0400-000006000000}">
      <text>
        <r>
          <rPr>
            <sz val="11"/>
            <color theme="1"/>
            <rFont val="Calibri"/>
            <family val="2"/>
            <scheme val="minor"/>
          </rPr>
          <t>Sam Bradshaw:
incl free bets</t>
        </r>
      </text>
    </comment>
    <comment ref="I191" authorId="0" shapeId="0" xr:uid="{00000000-0006-0000-0400-000007000000}">
      <text>
        <r>
          <rPr>
            <sz val="11"/>
            <color theme="1"/>
            <rFont val="Calibri"/>
            <family val="2"/>
            <scheme val="minor"/>
          </rPr>
          <t>Sam Bradshaw:
fee increase</t>
        </r>
      </text>
    </comment>
    <comment ref="B195" authorId="0" shapeId="0" xr:uid="{00000000-0006-0000-0400-000008000000}">
      <text>
        <r>
          <rPr>
            <sz val="11"/>
            <color theme="1"/>
            <rFont val="Calibri"/>
            <family val="2"/>
            <scheme val="minor"/>
          </rPr>
          <t>Sam Bradshaw:</t>
        </r>
      </text>
    </comment>
    <comment ref="B200" authorId="0" shapeId="0" xr:uid="{00000000-0006-0000-0400-000009000000}">
      <text>
        <r>
          <rPr>
            <sz val="11"/>
            <color theme="1"/>
            <rFont val="Calibri"/>
            <family val="2"/>
            <scheme val="minor"/>
          </rPr>
          <t>Sam Bradshaw:
Only on racing, not on NSW racing, phone bets excluded</t>
        </r>
      </text>
    </comment>
    <comment ref="I217" authorId="0" shapeId="0" xr:uid="{00000000-0006-0000-0400-00000A000000}">
      <text>
        <r>
          <rPr>
            <sz val="11"/>
            <color theme="1"/>
            <rFont val="Calibri"/>
            <family val="2"/>
            <scheme val="minor"/>
          </rPr>
          <t>Sam Bradshaw:
excludes 6.2m one-off migration &amp; rebranding</t>
        </r>
      </text>
    </comment>
    <comment ref="J292" authorId="0" shapeId="0" xr:uid="{86AA902F-CB61-49C1-849E-11A52B175BAE}">
      <text>
        <r>
          <rPr>
            <b/>
            <sz val="9"/>
            <color indexed="81"/>
            <rFont val="Tahoma"/>
            <family val="2"/>
          </rPr>
          <t>Sam Bradshaw:</t>
        </r>
        <r>
          <rPr>
            <sz val="9"/>
            <color indexed="81"/>
            <rFont val="Tahoma"/>
            <family val="2"/>
          </rPr>
          <t xml:space="preserve">
done to balance</t>
        </r>
      </text>
    </comment>
    <comment ref="B302" authorId="0" shapeId="0" xr:uid="{00000000-0006-0000-0400-00000B000000}">
      <text>
        <r>
          <rPr>
            <sz val="11"/>
            <color theme="1"/>
            <rFont val="Calibri"/>
            <family val="2"/>
            <scheme val="minor"/>
          </rPr>
          <t>Sam Bradshaw:
Financial Asset Investments
Other Assets
Other Financial Assets
Derivative Financial Instruments</t>
        </r>
      </text>
    </comment>
    <comment ref="J302" authorId="0" shapeId="0" xr:uid="{3AC4F1B1-91E2-49F8-9258-D1C912648C4B}">
      <text>
        <r>
          <rPr>
            <b/>
            <sz val="9"/>
            <color indexed="81"/>
            <rFont val="Tahoma"/>
            <family val="2"/>
          </rPr>
          <t>Sam Bradshaw:</t>
        </r>
        <r>
          <rPr>
            <sz val="9"/>
            <color indexed="81"/>
            <rFont val="Tahoma"/>
            <family val="2"/>
          </rPr>
          <t xml:space="preserve">
done to balance</t>
        </r>
      </text>
    </comment>
    <comment ref="J314" authorId="0" shapeId="0" xr:uid="{C0F03381-D7CB-4D62-B049-6FAD9C6E0A0B}">
      <text>
        <r>
          <rPr>
            <b/>
            <sz val="9"/>
            <color indexed="81"/>
            <rFont val="Tahoma"/>
            <family val="2"/>
          </rPr>
          <t>Sam Bradshaw:</t>
        </r>
        <r>
          <rPr>
            <sz val="9"/>
            <color indexed="81"/>
            <rFont val="Tahoma"/>
            <family val="2"/>
          </rPr>
          <t xml:space="preserve">
done to balance</t>
        </r>
      </text>
    </comment>
    <comment ref="D618" authorId="1" shapeId="0" xr:uid="{00000000-0006-0000-0400-00000D000000}">
      <text>
        <r>
          <rPr>
            <sz val="11"/>
            <color theme="1"/>
            <rFont val="Calibri"/>
            <family val="2"/>
            <scheme val="minor"/>
          </rPr>
          <t>REPLACE: source gross AUSTRALIAN carried-forward tax losses from betr FY25 tax note (Note ~13 / income tax note). EXCLUDE US (ClutchBet) losses. Low case = conservative (e.g. COT/BCT failure -&gt; ~0 usable).</t>
        </r>
      </text>
    </comment>
    <comment ref="D619" authorId="1" shapeId="0" xr:uid="{00000000-0006-0000-0400-00000E000000}">
      <text>
        <r>
          <rPr>
            <sz val="11"/>
            <color theme="1"/>
            <rFont val="Calibri"/>
            <family val="2"/>
            <scheme val="minor"/>
          </rPr>
          <t>REPLACE: base-case usable AU tax losses at start of forecast (31 Dec 2025), after any COT/BCT haircut. Do NOT use the ~A$111m accounting deficit (includes non-deductibles + US losses).</t>
        </r>
      </text>
    </comment>
    <comment ref="D620" authorId="1" shapeId="0" xr:uid="{00000000-0006-0000-0400-00000F000000}">
      <text>
        <r>
          <rPr>
            <sz val="11"/>
            <color theme="1"/>
            <rFont val="Calibri"/>
            <family val="2"/>
            <scheme val="minor"/>
          </rPr>
          <t>REPLACE: high case = full gross AU carried-forward losses if COT/BCT satisfied.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118" authorId="0" shapeId="0" xr:uid="{00000000-0006-0000-0500-000001000000}">
      <text>
        <r>
          <rPr>
            <sz val="11"/>
            <color theme="1"/>
            <rFont val="Calibri"/>
            <family val="2"/>
            <scheme val="minor"/>
          </rPr>
          <t>Sam Bradshaw:
Accumulated Losses</t>
        </r>
      </text>
    </comment>
    <comment ref="B123" authorId="0" shapeId="0" xr:uid="{00000000-0006-0000-0500-000002000000}">
      <text>
        <r>
          <rPr>
            <sz val="11"/>
            <color theme="1"/>
            <rFont val="Calibri"/>
            <family val="2"/>
            <scheme val="minor"/>
          </rPr>
          <t>Sam Bradshaw:
&lt;&lt; Reserves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<sst xmlns="http://schemas.openxmlformats.org/spreadsheetml/2006/main" count="3804" uniqueCount="1350">
  <si>
    <t>Management EBITDA Target (normalised)</t>
  </si>
  <si>
    <t>2H26</t>
  </si>
  <si>
    <t>$5m-$8m</t>
  </si>
  <si>
    <t>FY27</t>
  </si>
  <si>
    <t>$13m-$19m</t>
  </si>
  <si>
    <t>E&amp;P</t>
  </si>
  <si>
    <t>Checks</t>
  </si>
  <si>
    <t>X</t>
  </si>
  <si>
    <t>Valuation</t>
  </si>
  <si>
    <t>VAL</t>
  </si>
  <si>
    <t>Period End</t>
  </si>
  <si>
    <t>Quarter</t>
  </si>
  <si>
    <t>Half</t>
  </si>
  <si>
    <t>FY</t>
  </si>
  <si>
    <t>HY FY</t>
  </si>
  <si>
    <t>Calendar Year</t>
  </si>
  <si>
    <t>Actual/Estimate</t>
  </si>
  <si>
    <t>Days in period</t>
  </si>
  <si>
    <t>GENERAL</t>
  </si>
  <si>
    <t>A/E</t>
  </si>
  <si>
    <t>A</t>
  </si>
  <si>
    <t>E</t>
  </si>
  <si>
    <t>Commentary</t>
  </si>
  <si>
    <t>1Q</t>
  </si>
  <si>
    <t>Marketing spend is front-weighted. So, the output in half two will be a reduction on that, approximately circa AUD 10 million for the second half of the year</t>
  </si>
  <si>
    <t>2Q</t>
  </si>
  <si>
    <t>On net win margin, we're modeling that at that 10.4% historical rate that we've been able to achieve over a significant period of time</t>
  </si>
  <si>
    <t>We are assuming that the turnover – that the market will continue to grow in that low-single digits number. And we're assuming that we do continue to take share as we have. It does not need to be at 4 times the market for us to get to the guidance number</t>
  </si>
  <si>
    <t>But we do assume that we continue to take share as we get payback from the investment that we've made in those brand and product initiatives in the first half.</t>
  </si>
  <si>
    <t>This model is designed to enhance productivity, while maintaining service quality, and from Q4 onwards is expected to deliver approximately AUD 6 million in annualized run rate savings.</t>
  </si>
  <si>
    <t>3Q</t>
  </si>
  <si>
    <t>We're confident that we grow in FY 2027 at mid- to high-single digits at the top line</t>
  </si>
  <si>
    <t>What we're not seeing is a reduction in customers or in active user days. We have seen in small cohorts of customers either a reduction in frequency or a reduction in bet size. Now, interestingly, when you have a reduction in bet size, it often translates to higher margin activities. So the impact on revenue has been really negligible in that respect with how the customers have continued to engage with us</t>
  </si>
  <si>
    <t>SEGMENTS</t>
  </si>
  <si>
    <t>TOP SPORT</t>
  </si>
  <si>
    <t>Turnover</t>
  </si>
  <si>
    <t xml:space="preserve">BBT Underlying </t>
  </si>
  <si>
    <t>A$m</t>
  </si>
  <si>
    <t>growth</t>
  </si>
  <si>
    <t>%</t>
  </si>
  <si>
    <t>TopSport</t>
  </si>
  <si>
    <t>Combined</t>
  </si>
  <si>
    <t>Gross Win</t>
  </si>
  <si>
    <t>Net Win</t>
  </si>
  <si>
    <t>AUSTRALIA</t>
  </si>
  <si>
    <t>QTR Sum</t>
  </si>
  <si>
    <t>Advertising Ban</t>
  </si>
  <si>
    <t>margin</t>
  </si>
  <si>
    <t>Promos</t>
  </si>
  <si>
    <t>Promo %</t>
  </si>
  <si>
    <t>Active Customers</t>
  </si>
  <si>
    <t>000's</t>
  </si>
  <si>
    <t>Turnover per Customer</t>
  </si>
  <si>
    <t>$</t>
  </si>
  <si>
    <t>Net Win per Customer</t>
  </si>
  <si>
    <t>By Event</t>
  </si>
  <si>
    <t>Sport</t>
  </si>
  <si>
    <t>Horse racing</t>
  </si>
  <si>
    <t>Greyhounds</t>
  </si>
  <si>
    <t>Harness Racing</t>
  </si>
  <si>
    <t>Revenue</t>
  </si>
  <si>
    <t>Growth</t>
  </si>
  <si>
    <t>Splits</t>
  </si>
  <si>
    <t>BBT P&amp;L</t>
  </si>
  <si>
    <t>P&amp;L - NORMALISED</t>
  </si>
  <si>
    <t>Turnover (gross of GST)</t>
  </si>
  <si>
    <t>Payouts (gross of GST)</t>
  </si>
  <si>
    <t>----------</t>
  </si>
  <si>
    <t>Gross Revenue</t>
  </si>
  <si>
    <t>Promotions given (gross of GST)</t>
  </si>
  <si>
    <t>GST</t>
  </si>
  <si>
    <t>Cost of Sales</t>
  </si>
  <si>
    <t>Gross Profit</t>
  </si>
  <si>
    <t>Other Income</t>
  </si>
  <si>
    <t>Opex</t>
  </si>
  <si>
    <t>EBITDA</t>
  </si>
  <si>
    <t>Depreciation, Amortization and Impairments</t>
  </si>
  <si>
    <t>Finance Costs</t>
  </si>
  <si>
    <t>Profit/(loss) before income tax expense</t>
  </si>
  <si>
    <t>Income tax expense</t>
  </si>
  <si>
    <t>Profit/(loss) after income tax</t>
  </si>
  <si>
    <t>Normalised EPS</t>
  </si>
  <si>
    <t>cps</t>
  </si>
  <si>
    <t>NPBT</t>
  </si>
  <si>
    <t>NPAT</t>
  </si>
  <si>
    <t>P&amp;L - STATUTORY</t>
  </si>
  <si>
    <t>Discontinued Ops</t>
  </si>
  <si>
    <t>NPAT attributable to Shareholders</t>
  </si>
  <si>
    <t>FX</t>
  </si>
  <si>
    <t>Fair Value gain / loss on Investment</t>
  </si>
  <si>
    <t>Other comprehensive (loss)/income for the half-year, net of tax</t>
  </si>
  <si>
    <t>Total comprehensive (loss)/income</t>
  </si>
  <si>
    <t>EPS Continuing Operations - Diluted</t>
  </si>
  <si>
    <t>DPS</t>
  </si>
  <si>
    <t>ADJUSTMENTS</t>
  </si>
  <si>
    <t>NPAT Adjustments</t>
  </si>
  <si>
    <t>share based payments the only ongoing</t>
  </si>
  <si>
    <t>Share based payments (non-cash)</t>
  </si>
  <si>
    <t>Transaction costs</t>
  </si>
  <si>
    <t>One-off migration &amp; rebranding</t>
  </si>
  <si>
    <t>Discontinued operations</t>
  </si>
  <si>
    <t>Other</t>
  </si>
  <si>
    <t>Finance costs (loan on PBH shareholding)</t>
  </si>
  <si>
    <t>Total</t>
  </si>
  <si>
    <t>P&amp;L WORKINGS</t>
  </si>
  <si>
    <t>COST OF SALES</t>
  </si>
  <si>
    <t>POCT blended average (% of Net Win)</t>
  </si>
  <si>
    <t>POCT Cost of Sales</t>
  </si>
  <si>
    <t>Product Fees (% of Turnover)</t>
  </si>
  <si>
    <t xml:space="preserve">Product Fees Cost of Sales </t>
  </si>
  <si>
    <t>NT Licencing Fees</t>
  </si>
  <si>
    <t>CPI</t>
  </si>
  <si>
    <t>SkyRacing</t>
  </si>
  <si>
    <t>% of Turnover</t>
  </si>
  <si>
    <t>POCT</t>
  </si>
  <si>
    <t>Product Fees</t>
  </si>
  <si>
    <t>Other % of Turnover</t>
  </si>
  <si>
    <t>Other % of Net Win</t>
  </si>
  <si>
    <t>Cost of Sales % of Net Win</t>
  </si>
  <si>
    <t>Cost of Sales % of Turnover</t>
  </si>
  <si>
    <t>OPEX</t>
  </si>
  <si>
    <t>Advertising &amp; Marketing</t>
  </si>
  <si>
    <t>% of Net Win</t>
  </si>
  <si>
    <t>Employee benefits expense</t>
  </si>
  <si>
    <t>Licencing, platform and subscriptions</t>
  </si>
  <si>
    <t>Product &amp; Technology expense</t>
  </si>
  <si>
    <t>Administration and other expenses</t>
  </si>
  <si>
    <t>Other Opex</t>
  </si>
  <si>
    <t>Advertising &amp; Marketing expense</t>
  </si>
  <si>
    <t>Total Operating Expenses</t>
  </si>
  <si>
    <t>Other Opex % of Net Win</t>
  </si>
  <si>
    <t>SHARE BASED PAYMENTS</t>
  </si>
  <si>
    <t>% of Other Opex</t>
  </si>
  <si>
    <t>OTHER</t>
  </si>
  <si>
    <t>% of Revenue</t>
  </si>
  <si>
    <t>TAX</t>
  </si>
  <si>
    <t>Income Taxes</t>
  </si>
  <si>
    <t>Tax Rate</t>
  </si>
  <si>
    <t>CASH FLOW STATEMENT</t>
  </si>
  <si>
    <t>Cash EBITDA</t>
  </si>
  <si>
    <t>Net Interest Paid</t>
  </si>
  <si>
    <t>Net Income Tax</t>
  </si>
  <si>
    <t>Change in Working Capital</t>
  </si>
  <si>
    <t>Operating Cash Flow</t>
  </si>
  <si>
    <t>PPE Capex</t>
  </si>
  <si>
    <t>Intangibles Capex</t>
  </si>
  <si>
    <t>Acqusitions</t>
  </si>
  <si>
    <t>Divestments</t>
  </si>
  <si>
    <t>Investments</t>
  </si>
  <si>
    <t>Investing Cash Flow</t>
  </si>
  <si>
    <t>Revolver Draw/(Repaid)</t>
  </si>
  <si>
    <t>Debt Drawn/(Repaid)</t>
  </si>
  <si>
    <t>Share Repurchases</t>
  </si>
  <si>
    <t>Equity Raised</t>
  </si>
  <si>
    <t>Dividends</t>
  </si>
  <si>
    <t>Lease Principal Payments</t>
  </si>
  <si>
    <t>Financing Cash Flow</t>
  </si>
  <si>
    <t>Opening Cash</t>
  </si>
  <si>
    <t>Net Cash Flow</t>
  </si>
  <si>
    <t>Closing Cash</t>
  </si>
  <si>
    <t>Check</t>
  </si>
  <si>
    <t>BALANCE SHEET</t>
  </si>
  <si>
    <t>Cash and Cash Eequivalents</t>
  </si>
  <si>
    <t>Trade &amp; Other Receivables</t>
  </si>
  <si>
    <t>Inventory</t>
  </si>
  <si>
    <t>Other Assets</t>
  </si>
  <si>
    <t>Current Assets</t>
  </si>
  <si>
    <t>Financial Assets/Investments</t>
  </si>
  <si>
    <t>Property, Plant and Equipment, net</t>
  </si>
  <si>
    <t>Right of Use Assets</t>
  </si>
  <si>
    <t>Goodwill</t>
  </si>
  <si>
    <t>Other Intangibles</t>
  </si>
  <si>
    <t>Deferred Tax Assets</t>
  </si>
  <si>
    <t>Other Non Current Assets</t>
  </si>
  <si>
    <t>Non Current Assets</t>
  </si>
  <si>
    <t>TOTAL ASSETS</t>
  </si>
  <si>
    <t>Trade &amp; Other Payables</t>
  </si>
  <si>
    <t>Revolver</t>
  </si>
  <si>
    <t>Borrowings</t>
  </si>
  <si>
    <t>Lease Liabilities</t>
  </si>
  <si>
    <t>Employee Benefits</t>
  </si>
  <si>
    <t>Provisions</t>
  </si>
  <si>
    <t>Client Deposits</t>
  </si>
  <si>
    <t>Other Current Liabilities</t>
  </si>
  <si>
    <t>Current Liabilities</t>
  </si>
  <si>
    <t>Long Term Borrowings</t>
  </si>
  <si>
    <t>Non Current Leases</t>
  </si>
  <si>
    <t>Deferred Taxes</t>
  </si>
  <si>
    <t>Other Non Current Liabilities</t>
  </si>
  <si>
    <t>Non Current Liabilities</t>
  </si>
  <si>
    <t>TOTAL LIABILITIES</t>
  </si>
  <si>
    <t>Share Capital</t>
  </si>
  <si>
    <t>Reserves</t>
  </si>
  <si>
    <t>Retained earnings</t>
  </si>
  <si>
    <t>Non Controlling Interests</t>
  </si>
  <si>
    <t>TOTAL EQUITY</t>
  </si>
  <si>
    <t>CAPEX SCHEDULES</t>
  </si>
  <si>
    <t>D&amp;A</t>
  </si>
  <si>
    <t>Property Plant &amp; Equipment</t>
  </si>
  <si>
    <t>Intangible Assets</t>
  </si>
  <si>
    <t>CAPEX</t>
  </si>
  <si>
    <t xml:space="preserve">INTANGIBLE ASSETS </t>
  </si>
  <si>
    <t>Int Capex as a % of revenue</t>
  </si>
  <si>
    <t>Ammortisation Life</t>
  </si>
  <si>
    <t>periods</t>
  </si>
  <si>
    <t>Ammortisation Expense</t>
  </si>
  <si>
    <t>Int Capex</t>
  </si>
  <si>
    <t>Closing Intangible Assets</t>
  </si>
  <si>
    <t>WORKING CAPITAL SCHEDULES</t>
  </si>
  <si>
    <t>ACCOUNTS RECEIVABLE</t>
  </si>
  <si>
    <t>Accounts Receivable</t>
  </si>
  <si>
    <t>Days</t>
  </si>
  <si>
    <t>INVENTORY</t>
  </si>
  <si>
    <t>TRADE &amp; OTHER PAYABLES</t>
  </si>
  <si>
    <t>Accounts Payable</t>
  </si>
  <si>
    <t>WORKING CAPITAL</t>
  </si>
  <si>
    <t>Net working capital</t>
  </si>
  <si>
    <t>(Increase) / decrease in net working capital</t>
  </si>
  <si>
    <t>Reported from CFO</t>
  </si>
  <si>
    <t>FINANCE SCHEDULES</t>
  </si>
  <si>
    <t>REVOLVER</t>
  </si>
  <si>
    <t>Cash Avaliable</t>
  </si>
  <si>
    <t>Beginning Cash</t>
  </si>
  <si>
    <t>Minimum Balance</t>
  </si>
  <si>
    <t>Cash Flows ex-Revolver</t>
  </si>
  <si>
    <t>Cash avaliable to pay down Revolver</t>
  </si>
  <si>
    <t>Revolver Balance</t>
  </si>
  <si>
    <t>Beginning Balance</t>
  </si>
  <si>
    <t>Draw/(Paydown)</t>
  </si>
  <si>
    <t>End Balance</t>
  </si>
  <si>
    <t>DEBT INTEREST</t>
  </si>
  <si>
    <t>Short Term Borrowings</t>
  </si>
  <si>
    <t>Beginning Long Tem Borrowings</t>
  </si>
  <si>
    <t>Debt Drawdowns/Repayments</t>
  </si>
  <si>
    <t>Current Leases</t>
  </si>
  <si>
    <t>Total Leases</t>
  </si>
  <si>
    <t>Total Borrowings</t>
  </si>
  <si>
    <t>Interest on Debt</t>
  </si>
  <si>
    <t>Interest Rate</t>
  </si>
  <si>
    <t>CASH SCHEDULE</t>
  </si>
  <si>
    <t>Cash</t>
  </si>
  <si>
    <t>Interest Income</t>
  </si>
  <si>
    <t>NET INTEREST</t>
  </si>
  <si>
    <t>Interest Rate difference</t>
  </si>
  <si>
    <t>Interest Coverage Ratio</t>
  </si>
  <si>
    <t>DEBT CAPACITY</t>
  </si>
  <si>
    <t>Total Debt</t>
  </si>
  <si>
    <t>Overdraft</t>
  </si>
  <si>
    <t>(-) Cash</t>
  </si>
  <si>
    <t>Net Debt (Company Reported)</t>
  </si>
  <si>
    <t>Lease Adjusted Net Debt</t>
  </si>
  <si>
    <t>Corporate Net Debt</t>
  </si>
  <si>
    <t>Trailing 12m EBITDA</t>
  </si>
  <si>
    <t>Company Reported Leverage</t>
  </si>
  <si>
    <t>x</t>
  </si>
  <si>
    <t>Coprorate Leverage</t>
  </si>
  <si>
    <t>INVESTMENTS</t>
  </si>
  <si>
    <t>Total Investments</t>
  </si>
  <si>
    <t>PointsBet</t>
  </si>
  <si>
    <t>POINTSBET</t>
  </si>
  <si>
    <t>% of Shares</t>
  </si>
  <si>
    <t>Market Cap</t>
  </si>
  <si>
    <t>Value Pre-Loan</t>
  </si>
  <si>
    <t>Change in Fair Value</t>
  </si>
  <si>
    <t>Reported Change in Fair Value</t>
  </si>
  <si>
    <t>EQUITY, SHARES OUTSTANDING &amp; DIVIDENDS</t>
  </si>
  <si>
    <t>Share Price</t>
  </si>
  <si>
    <t>Average</t>
  </si>
  <si>
    <t>A$</t>
  </si>
  <si>
    <t>EOP</t>
  </si>
  <si>
    <t>DIVIDENDS</t>
  </si>
  <si>
    <t>Dividends Paid</t>
  </si>
  <si>
    <t>Dividends per Share - Underlying</t>
  </si>
  <si>
    <t>Dividend Amount</t>
  </si>
  <si>
    <t>As a % of Underlying NPAT</t>
  </si>
  <si>
    <t>Yield (annualised)</t>
  </si>
  <si>
    <t>EQUITY</t>
  </si>
  <si>
    <t>Share Price for Equity Raise</t>
  </si>
  <si>
    <t>US$</t>
  </si>
  <si>
    <t>Shares Raised</t>
  </si>
  <si>
    <t>No. mlns</t>
  </si>
  <si>
    <t>Buybacks</t>
  </si>
  <si>
    <t>Buyback Amount (-'ve)</t>
  </si>
  <si>
    <t>Share Price for Buyback</t>
  </si>
  <si>
    <t>Shares Ceased</t>
  </si>
  <si>
    <t>Performance Rights</t>
  </si>
  <si>
    <t>Performance Rights - Beginning</t>
  </si>
  <si>
    <t>Granted (+)</t>
  </si>
  <si>
    <t>Foreited (-)</t>
  </si>
  <si>
    <t>Exercised (-)</t>
  </si>
  <si>
    <t>Performance Rights - End</t>
  </si>
  <si>
    <t>Shares outstanding</t>
  </si>
  <si>
    <t>Ord shares - beg</t>
  </si>
  <si>
    <t>(+) New issues - Equity Raised</t>
  </si>
  <si>
    <t>(+) Performance Rights</t>
  </si>
  <si>
    <t>(-) Buybacks</t>
  </si>
  <si>
    <t>Ord shares - end</t>
  </si>
  <si>
    <t>Average Shares</t>
  </si>
  <si>
    <t>(+) ITM Options</t>
  </si>
  <si>
    <t>Diluted  shares - end</t>
  </si>
  <si>
    <t>WANOS reported - Diluted EPS</t>
  </si>
  <si>
    <t>VALUATION</t>
  </si>
  <si>
    <t>Latest Half</t>
  </si>
  <si>
    <t>Date</t>
  </si>
  <si>
    <t>Current Date</t>
  </si>
  <si>
    <t>Valuation Date - 12 Month Spot</t>
  </si>
  <si>
    <t>DISCOUNT RATE</t>
  </si>
  <si>
    <t>Cost of Debt</t>
  </si>
  <si>
    <t>Pre Tax Kd</t>
  </si>
  <si>
    <t>Post Tax Kd</t>
  </si>
  <si>
    <t>Cost of Equity</t>
  </si>
  <si>
    <t>Risk Free Rate</t>
  </si>
  <si>
    <t>Beta</t>
  </si>
  <si>
    <t>Market Risk Premium</t>
  </si>
  <si>
    <t>Discount Rate</t>
  </si>
  <si>
    <t>Debt/EV</t>
  </si>
  <si>
    <t>Equity/EV</t>
  </si>
  <si>
    <t>WACC</t>
  </si>
  <si>
    <t>Terminal growth rate</t>
  </si>
  <si>
    <t>DCF</t>
  </si>
  <si>
    <t>Timeframe</t>
  </si>
  <si>
    <t>Terminal Yr</t>
  </si>
  <si>
    <t>Discount Factors</t>
  </si>
  <si>
    <t>Time</t>
  </si>
  <si>
    <t>yrs</t>
  </si>
  <si>
    <t>Discount</t>
  </si>
  <si>
    <t>#</t>
  </si>
  <si>
    <t>Timeframe (1=yes, 0=no)</t>
  </si>
  <si>
    <t>1/0</t>
  </si>
  <si>
    <t>Forecast period Discount</t>
  </si>
  <si>
    <t>Terminal Discount</t>
  </si>
  <si>
    <t>(+/-) Statutory Adjustments incl SBC</t>
  </si>
  <si>
    <t>(-) Tax</t>
  </si>
  <si>
    <t>(-) Capex</t>
  </si>
  <si>
    <t>(+/-) (Increase) / decrease in NWC</t>
  </si>
  <si>
    <t>FCFF</t>
  </si>
  <si>
    <t>PV of FCFF (forecast period)</t>
  </si>
  <si>
    <t>PV of FCFF (terminal value)</t>
  </si>
  <si>
    <t>Enterprise value</t>
  </si>
  <si>
    <t>Net Cash / (Debt) (Corporate Net Debt)</t>
  </si>
  <si>
    <t>Equity Value BBT</t>
  </si>
  <si>
    <t>PointsBet Stake Value</t>
  </si>
  <si>
    <t>Equity Value</t>
  </si>
  <si>
    <t>Shares Outstanding</t>
  </si>
  <si>
    <t>m's</t>
  </si>
  <si>
    <t>Diluted Shares</t>
  </si>
  <si>
    <t>Value Per Share</t>
  </si>
  <si>
    <t>MULTIPLES</t>
  </si>
  <si>
    <t>EV/EBITDA</t>
  </si>
  <si>
    <t>Year</t>
  </si>
  <si>
    <t>date</t>
  </si>
  <si>
    <t>FY28E</t>
  </si>
  <si>
    <t>Multiple</t>
  </si>
  <si>
    <t>P/E - Not Used</t>
  </si>
  <si>
    <t>FY29E</t>
  </si>
  <si>
    <t>EPS</t>
  </si>
  <si>
    <t>BLENDED VALUTATION</t>
  </si>
  <si>
    <t>Weigthing</t>
  </si>
  <si>
    <t>PER</t>
  </si>
  <si>
    <t>Blended Target</t>
  </si>
  <si>
    <t>Share price</t>
  </si>
  <si>
    <t>Upside to Valuation</t>
  </si>
  <si>
    <t>TAX LOSS / CASH TAX SCHEDULE</t>
  </si>
  <si>
    <t>SCENARIO CONTROL</t>
  </si>
  <si>
    <t>Loss pool scenario (1=Low, 2=Base, 3=High)</t>
  </si>
  <si>
    <t xml:space="preserve">  Low - usable tax losses</t>
  </si>
  <si>
    <t xml:space="preserve">  Base - usable tax losses</t>
  </si>
  <si>
    <t xml:space="preserve">  High - usable tax losses</t>
  </si>
  <si>
    <t>Selected opening pool</t>
  </si>
  <si>
    <t>SCHEDULE - half-yearly (EBIT basis, feeds FCFF r538)</t>
  </si>
  <si>
    <t>Taxable profit / (loss) [EBIT]</t>
  </si>
  <si>
    <t>Opening loss pool</t>
  </si>
  <si>
    <t>(+) Loss generated</t>
  </si>
  <si>
    <t>(-) Loss utilised</t>
  </si>
  <si>
    <t>Closing loss pool</t>
  </si>
  <si>
    <t>Taxable income after losses</t>
  </si>
  <si>
    <t>Cash tax (-&gt; FCFF r538)</t>
  </si>
  <si>
    <t>Check - pool exhausted by terminal yr (col W)?</t>
  </si>
  <si>
    <t>Model navigation</t>
  </si>
  <si>
    <t>COMPANY DETAILS</t>
  </si>
  <si>
    <t>ANALYST CONTACTS</t>
  </si>
  <si>
    <t>COMPANY CONTACTS</t>
  </si>
  <si>
    <t>Name</t>
  </si>
  <si>
    <t>Sam Bradshaw</t>
  </si>
  <si>
    <t>Andrew Menz</t>
  </si>
  <si>
    <t>CEO</t>
  </si>
  <si>
    <t>andrew.menz@betr.com.au</t>
  </si>
  <si>
    <t>Ticker</t>
  </si>
  <si>
    <t>BBT-ASX</t>
  </si>
  <si>
    <t>0488063503</t>
  </si>
  <si>
    <t>Bill Richmond</t>
  </si>
  <si>
    <t>COO</t>
  </si>
  <si>
    <t>Exchange</t>
  </si>
  <si>
    <t>Australia</t>
  </si>
  <si>
    <t>sam.bradshaw@eandp.com.au</t>
  </si>
  <si>
    <t>Blake Matthews</t>
  </si>
  <si>
    <t>CFO</t>
  </si>
  <si>
    <t>Sector</t>
  </si>
  <si>
    <t>Gaming</t>
  </si>
  <si>
    <t>Industry</t>
  </si>
  <si>
    <t>Wagering</t>
  </si>
  <si>
    <t>Trading Multiples</t>
  </si>
  <si>
    <t>FY26</t>
  </si>
  <si>
    <t>FY28</t>
  </si>
  <si>
    <t>FY29</t>
  </si>
  <si>
    <t>FY30</t>
  </si>
  <si>
    <t>No Visible Alpha Data avaliable</t>
  </si>
  <si>
    <t>Share price (A$)</t>
  </si>
  <si>
    <t>EV/AEBITDA</t>
  </si>
  <si>
    <t>Valuation (A$)</t>
  </si>
  <si>
    <t>P/E</t>
  </si>
  <si>
    <t>Upside / (downside)</t>
  </si>
  <si>
    <t>Revs</t>
  </si>
  <si>
    <t>Consensus</t>
  </si>
  <si>
    <t>check QTR CFO's &amp; expenses</t>
  </si>
  <si>
    <t>Industrial ResearchWise Sheet</t>
  </si>
  <si>
    <t>BlueMatrix formulas</t>
  </si>
  <si>
    <t>Company static items</t>
  </si>
  <si>
    <t>@BEGINSTATIC</t>
  </si>
  <si>
    <t>@ENDSTATIC</t>
  </si>
  <si>
    <t>@INSTTYPE</t>
  </si>
  <si>
    <t>Instrument type</t>
  </si>
  <si>
    <t>EQ</t>
  </si>
  <si>
    <t>@CTYPE</t>
  </si>
  <si>
    <t>Instrument code type</t>
  </si>
  <si>
    <t>@BB</t>
  </si>
  <si>
    <t>@VERSION</t>
  </si>
  <si>
    <t>Version information (Do not change)</t>
  </si>
  <si>
    <t>@CODE</t>
  </si>
  <si>
    <t>@MULT</t>
  </si>
  <si>
    <t>Multiplier</t>
  </si>
  <si>
    <t>@RCURR</t>
  </si>
  <si>
    <t>Reporting Currency</t>
  </si>
  <si>
    <t>@ANALYST</t>
  </si>
  <si>
    <t>Lead analyst</t>
  </si>
  <si>
    <t>@TARGET</t>
  </si>
  <si>
    <t>PRICE_TARGET</t>
  </si>
  <si>
    <t>@REC</t>
  </si>
  <si>
    <t>REC</t>
  </si>
  <si>
    <t>Recommendation</t>
  </si>
  <si>
    <t>Positive</t>
  </si>
  <si>
    <t>@SHARE_OUT</t>
  </si>
  <si>
    <t>SHARE_OUT</t>
  </si>
  <si>
    <t>@FLOATPER</t>
  </si>
  <si>
    <t>free_float</t>
  </si>
  <si>
    <t>Free Float %</t>
  </si>
  <si>
    <t>PRICE</t>
  </si>
  <si>
    <t>Current Share Price</t>
  </si>
  <si>
    <t>Historic Share Price (Closing)</t>
  </si>
  <si>
    <t>TSR</t>
  </si>
  <si>
    <t>upside_valuation</t>
  </si>
  <si>
    <t>Upside to valuation</t>
  </si>
  <si>
    <t>div_yield</t>
  </si>
  <si>
    <t>Dividend yield</t>
  </si>
  <si>
    <t>exp_total_return</t>
  </si>
  <si>
    <t>Expected total SH return</t>
  </si>
  <si>
    <t>Trading Data test</t>
  </si>
  <si>
    <t>12_month_high</t>
  </si>
  <si>
    <t>12 month high</t>
  </si>
  <si>
    <t>12_month_low</t>
  </si>
  <si>
    <t>12 month low</t>
  </si>
  <si>
    <t>MARKET_CAP</t>
  </si>
  <si>
    <t>Market cap</t>
  </si>
  <si>
    <t>Free Float</t>
  </si>
  <si>
    <t>12_month_return</t>
  </si>
  <si>
    <t>12 month return (historical)</t>
  </si>
  <si>
    <t>@pricing_date</t>
  </si>
  <si>
    <t>Blended Valuation</t>
  </si>
  <si>
    <t>@DCF_VAL</t>
  </si>
  <si>
    <t>DCF_VAL</t>
  </si>
  <si>
    <t>Valuation - DCF</t>
  </si>
  <si>
    <t>@CAPPER_VAL</t>
  </si>
  <si>
    <t>CAPPER_VAL</t>
  </si>
  <si>
    <t>Valuation - Capitalisation of Earnings</t>
  </si>
  <si>
    <t>@PER_VAL</t>
  </si>
  <si>
    <t>PER_VAL</t>
  </si>
  <si>
    <t>Valuation - PER</t>
  </si>
  <si>
    <t>@SOTP_VAL</t>
  </si>
  <si>
    <t>SOTP_VAL</t>
  </si>
  <si>
    <t>Valuation - SOTP</t>
  </si>
  <si>
    <t>@BLEND_VAL</t>
  </si>
  <si>
    <t>Valuation - Blended</t>
  </si>
  <si>
    <t>@DCF_WT</t>
  </si>
  <si>
    <t>DCF_WT</t>
  </si>
  <si>
    <t>DCF Weightage</t>
  </si>
  <si>
    <t>@CAPPER_WT</t>
  </si>
  <si>
    <t>CAPPER_WT</t>
  </si>
  <si>
    <t>Capitalisation of Earnings Weightage</t>
  </si>
  <si>
    <t>@PER_WT</t>
  </si>
  <si>
    <t>PER_WT</t>
  </si>
  <si>
    <t>PER Weightage</t>
  </si>
  <si>
    <t>@SOTP_WT</t>
  </si>
  <si>
    <t>SOTP_WT</t>
  </si>
  <si>
    <t>SOTP Weightage</t>
  </si>
  <si>
    <t>Divisional Summary</t>
  </si>
  <si>
    <t>@SEG1_NAME</t>
  </si>
  <si>
    <t>Name of Segment 1</t>
  </si>
  <si>
    <t>@SEG2_NAME</t>
  </si>
  <si>
    <t>Name of Segment 2</t>
  </si>
  <si>
    <t>@SEG3_NAME</t>
  </si>
  <si>
    <t>Name of Segment 3</t>
  </si>
  <si>
    <t>@SEG4_NAME</t>
  </si>
  <si>
    <t>Name of Segment 4</t>
  </si>
  <si>
    <t>@SEG5_NAME</t>
  </si>
  <si>
    <t>Name of Segment 5</t>
  </si>
  <si>
    <t>@SEG6_NAME</t>
  </si>
  <si>
    <t>Name of Segment 6</t>
  </si>
  <si>
    <t>@SEG7_NAME</t>
  </si>
  <si>
    <t>Name of Segment 7</t>
  </si>
  <si>
    <t>@SEG8_NAME</t>
  </si>
  <si>
    <t>Name of Segment 8</t>
  </si>
  <si>
    <t>@SEG9_NAME</t>
  </si>
  <si>
    <t>Name of Segment 9</t>
  </si>
  <si>
    <t>@SEG10_NAME</t>
  </si>
  <si>
    <t>Name of Segment 10</t>
  </si>
  <si>
    <t>@SEG_PROFIT1</t>
  </si>
  <si>
    <t>Type of Segmental Results</t>
  </si>
  <si>
    <t>@SEG_PROFIT2</t>
  </si>
  <si>
    <t>Core Drivers, Investment Thesis, Near Term Catalysts</t>
  </si>
  <si>
    <t>@COREDRIVER1</t>
  </si>
  <si>
    <t>Core Driver 1</t>
  </si>
  <si>
    <t>Core Driver 2</t>
  </si>
  <si>
    <t>Core Driver 3</t>
  </si>
  <si>
    <t>Core Driver 4</t>
  </si>
  <si>
    <t>Core Driver 5</t>
  </si>
  <si>
    <t>@THESIS1</t>
  </si>
  <si>
    <t>Investment Thesis 1</t>
  </si>
  <si>
    <t>Investment Thesis 2</t>
  </si>
  <si>
    <t>Investment Thesis 3</t>
  </si>
  <si>
    <t>Investment Thesis 4</t>
  </si>
  <si>
    <t>Investment Thesis 5</t>
  </si>
  <si>
    <t>@CATALYST1</t>
  </si>
  <si>
    <t>Near Term Catalyst 1</t>
  </si>
  <si>
    <t>@NOTES</t>
  </si>
  <si>
    <t>Notes</t>
  </si>
  <si>
    <t>Key Macro Assumptions</t>
  </si>
  <si>
    <t>@KEYMAC1</t>
  </si>
  <si>
    <t>Name of Key Macro Assumption 1</t>
  </si>
  <si>
    <t>@KEYMAC2</t>
  </si>
  <si>
    <t>Name of Key Macro Assumption 2</t>
  </si>
  <si>
    <t>@KEYMAC3</t>
  </si>
  <si>
    <t>Name of Key Macro Assumption 3</t>
  </si>
  <si>
    <t>@KEYMAC4</t>
  </si>
  <si>
    <t>Name of Key Macro Assumption 4</t>
  </si>
  <si>
    <t>@KEYMAC5</t>
  </si>
  <si>
    <t>Name of Key Macro Assumption 5</t>
  </si>
  <si>
    <t>@KEYMAC6</t>
  </si>
  <si>
    <t>Name of Key Macro Assumption 6</t>
  </si>
  <si>
    <t>@KEYMAC7</t>
  </si>
  <si>
    <t>Name of Key Macro Assumption 7</t>
  </si>
  <si>
    <t>@KEYMAC8</t>
  </si>
  <si>
    <t>Name of Key Macro Assumption 8</t>
  </si>
  <si>
    <t>@KEYMAC9</t>
  </si>
  <si>
    <t>Name of Key Macro Assumption 9</t>
  </si>
  <si>
    <t>@KEYMAC10</t>
  </si>
  <si>
    <t>Name of Key Macro Assumption 10</t>
  </si>
  <si>
    <t>Type of Key Macro Assumption</t>
  </si>
  <si>
    <t>@KEYMACTYPE1</t>
  </si>
  <si>
    <t>Type of Key Macro Assumption 1</t>
  </si>
  <si>
    <t>@KEYMACTYPE2</t>
  </si>
  <si>
    <t>Type of Key Macro Assumption 2</t>
  </si>
  <si>
    <t>@KEYMACTYPE3</t>
  </si>
  <si>
    <t>Type of Key Macro Assumption 3</t>
  </si>
  <si>
    <t>@KEYMACTYPE4</t>
  </si>
  <si>
    <t>Type of Key Macro Assumption 4</t>
  </si>
  <si>
    <t>@KEYMACTYPE5</t>
  </si>
  <si>
    <t>Type of Key Macro Assumption 5</t>
  </si>
  <si>
    <t>@KEYMACTYPE6</t>
  </si>
  <si>
    <t>Type of Key Macro Assumption 6</t>
  </si>
  <si>
    <t>@KEYMACTYPE7</t>
  </si>
  <si>
    <t>Type of Key Macro Assumption 7</t>
  </si>
  <si>
    <t>@KEYMACTYPE8</t>
  </si>
  <si>
    <t>Type of Key Macro Assumption 8</t>
  </si>
  <si>
    <t>@KEYMACTYPE9</t>
  </si>
  <si>
    <t>Type of Key Macro Assumption 9</t>
  </si>
  <si>
    <t>@KEYMACTYPE10</t>
  </si>
  <si>
    <t>Type of Key Macro Assumption 10</t>
  </si>
  <si>
    <t>Companies for Relative Chart</t>
  </si>
  <si>
    <t>@COM1</t>
  </si>
  <si>
    <t>Company 1</t>
  </si>
  <si>
    <t>@COM2</t>
  </si>
  <si>
    <t>Company 2</t>
  </si>
  <si>
    <t>@COM3</t>
  </si>
  <si>
    <t>Company 3</t>
  </si>
  <si>
    <t>@COM4</t>
  </si>
  <si>
    <t>Company 4</t>
  </si>
  <si>
    <t>@COM5</t>
  </si>
  <si>
    <t>Company 5</t>
  </si>
  <si>
    <t>@COM6</t>
  </si>
  <si>
    <t>Company 6</t>
  </si>
  <si>
    <t>@INDEX</t>
  </si>
  <si>
    <t>Index</t>
  </si>
  <si>
    <t>Financials &amp; other data</t>
  </si>
  <si>
    <t>@BEGIN</t>
  </si>
  <si>
    <t>AN</t>
  </si>
  <si>
    <t>@DATE</t>
  </si>
  <si>
    <t>Reporting Financial Year</t>
  </si>
  <si>
    <t>@FSTATUS</t>
  </si>
  <si>
    <t xml:space="preserve">Accounts Status </t>
  </si>
  <si>
    <t>F</t>
  </si>
  <si>
    <t>@FPERIOD</t>
  </si>
  <si>
    <t>Reporting Period</t>
  </si>
  <si>
    <t>@YEAREND</t>
  </si>
  <si>
    <t>Financial Year End (month)</t>
  </si>
  <si>
    <t>Jun</t>
  </si>
  <si>
    <t>Earnings Revision</t>
  </si>
  <si>
    <t>LIVE</t>
  </si>
  <si>
    <t>DIVISION_21</t>
  </si>
  <si>
    <t>DIVISION_22</t>
  </si>
  <si>
    <t>DIVISION_23</t>
  </si>
  <si>
    <t>Adj. EPS</t>
  </si>
  <si>
    <t>DIVISION_24</t>
  </si>
  <si>
    <t>PASTE</t>
  </si>
  <si>
    <t>Old Revenue</t>
  </si>
  <si>
    <t>Old EBITDA</t>
  </si>
  <si>
    <t>Old EPS</t>
  </si>
  <si>
    <t>Old DPS</t>
  </si>
  <si>
    <t>CHANGE</t>
  </si>
  <si>
    <t>DIVISION_25</t>
  </si>
  <si>
    <t>% change Revenue</t>
  </si>
  <si>
    <t>DIVISION_26</t>
  </si>
  <si>
    <t>% change EBITDA</t>
  </si>
  <si>
    <t>DIVISION_27</t>
  </si>
  <si>
    <t>% change EPS</t>
  </si>
  <si>
    <t>DIVISION_28</t>
  </si>
  <si>
    <t>% change DPS</t>
  </si>
  <si>
    <t>Section I - Income Statement</t>
  </si>
  <si>
    <t>@SALES_REV</t>
  </si>
  <si>
    <t>SALES_REV</t>
  </si>
  <si>
    <t>Sales Revenue</t>
  </si>
  <si>
    <t>@OTH_REV</t>
  </si>
  <si>
    <t>OTH_REV</t>
  </si>
  <si>
    <t>Other Revenue</t>
  </si>
  <si>
    <t>@TOT_REV</t>
  </si>
  <si>
    <t>TOT_REV</t>
  </si>
  <si>
    <t>Total Operating Income/Revenue</t>
  </si>
  <si>
    <t>@COGS</t>
  </si>
  <si>
    <t>COGS</t>
  </si>
  <si>
    <t>Cost of goods sold</t>
  </si>
  <si>
    <t>@SGA</t>
  </si>
  <si>
    <t>SGA</t>
  </si>
  <si>
    <t>Sales, General &amp; Admin Expenses</t>
  </si>
  <si>
    <t>@RD</t>
  </si>
  <si>
    <t>RD</t>
  </si>
  <si>
    <t>Research &amp; Development Expense</t>
  </si>
  <si>
    <t>@PERS_EXP</t>
  </si>
  <si>
    <t>PERS_EXP</t>
  </si>
  <si>
    <t>Personnel Expenses</t>
  </si>
  <si>
    <t>@OTH_OP_EXP</t>
  </si>
  <si>
    <t>OTH_OP_EXP</t>
  </si>
  <si>
    <t>Other Operating expenses</t>
  </si>
  <si>
    <t>@TOT_OP_EXP</t>
  </si>
  <si>
    <t>TOT_OP_EXP</t>
  </si>
  <si>
    <t>@EBITDA</t>
  </si>
  <si>
    <t>@DEPN</t>
  </si>
  <si>
    <t>Depreciation</t>
  </si>
  <si>
    <t>@IMP_GW</t>
  </si>
  <si>
    <t>IMP_GW</t>
  </si>
  <si>
    <t>Impairment of goodwill</t>
  </si>
  <si>
    <t>@AMORT_GW</t>
  </si>
  <si>
    <t>AMORT_GW</t>
  </si>
  <si>
    <t>Amortisation of goodwill</t>
  </si>
  <si>
    <t>@AMORT_OTH</t>
  </si>
  <si>
    <t>AMORT_OTH</t>
  </si>
  <si>
    <t>Other amortisation</t>
  </si>
  <si>
    <t>@DEPN_AMORT</t>
  </si>
  <si>
    <t>DEPN_AMORT</t>
  </si>
  <si>
    <t>@EBITA</t>
  </si>
  <si>
    <t>EBITA</t>
  </si>
  <si>
    <t>@EBIT</t>
  </si>
  <si>
    <t>EBIT</t>
  </si>
  <si>
    <t>@INT_INC</t>
  </si>
  <si>
    <t>INT_INC</t>
  </si>
  <si>
    <t>@INT_EXP</t>
  </si>
  <si>
    <t>INT_EXP</t>
  </si>
  <si>
    <t>Interest expenses</t>
  </si>
  <si>
    <t>@NET_INTEXP</t>
  </si>
  <si>
    <t>NET_INTEXP</t>
  </si>
  <si>
    <t>Net Interest Expense</t>
  </si>
  <si>
    <t>@FX_GAIN_LOSS</t>
  </si>
  <si>
    <t>FX_GAIN_LOSS</t>
  </si>
  <si>
    <t>Forex gains/(losses)</t>
  </si>
  <si>
    <t>@OTH_NONOP_INC</t>
  </si>
  <si>
    <t>OTH_NONOP_INC</t>
  </si>
  <si>
    <t>Other Non-Operating income/(expenses)</t>
  </si>
  <si>
    <t>@PBT</t>
  </si>
  <si>
    <t>PBT</t>
  </si>
  <si>
    <t>@TAX_EXP</t>
  </si>
  <si>
    <t>Tax_expense</t>
  </si>
  <si>
    <t>Tax Expense</t>
  </si>
  <si>
    <t>@PREF_DIV</t>
  </si>
  <si>
    <t>PREF_DIV</t>
  </si>
  <si>
    <t>Preference Dividends Paid</t>
  </si>
  <si>
    <t>@NOPAT</t>
  </si>
  <si>
    <t>NOPAT</t>
  </si>
  <si>
    <t>Net Profit From Operations</t>
  </si>
  <si>
    <t>@PROFI_ASSO</t>
  </si>
  <si>
    <t>PROFI_ASSO</t>
  </si>
  <si>
    <t>Share of profits from associates</t>
  </si>
  <si>
    <t>@NOPAT_ASSO</t>
  </si>
  <si>
    <t>NOPAT_ASSO</t>
  </si>
  <si>
    <t>NPAT+ Associates</t>
  </si>
  <si>
    <t>@MINORITY_INT</t>
  </si>
  <si>
    <t>Minority_Interests</t>
  </si>
  <si>
    <t xml:space="preserve">Minority interest </t>
  </si>
  <si>
    <t>@NPAT_ATTR</t>
  </si>
  <si>
    <t>NPAT_ATTR</t>
  </si>
  <si>
    <t>NPAT attributable to shareholders</t>
  </si>
  <si>
    <t>@ABNORMALS</t>
  </si>
  <si>
    <t>ABNORMALS</t>
  </si>
  <si>
    <t>Non-Recurring Items</t>
  </si>
  <si>
    <t>@OTH_ADJ</t>
  </si>
  <si>
    <t>OTH_ADJ</t>
  </si>
  <si>
    <t>Reporting Adjustments</t>
  </si>
  <si>
    <t>@NPAT</t>
  </si>
  <si>
    <t>Reported Net Profit</t>
  </si>
  <si>
    <t>@OTH_NORMADJ</t>
  </si>
  <si>
    <t>OTH_NORMADJ</t>
  </si>
  <si>
    <t>Normalisation Adjustments</t>
  </si>
  <si>
    <t>@NOT_INT</t>
  </si>
  <si>
    <t>NOT_INT</t>
  </si>
  <si>
    <t>Notional Interest</t>
  </si>
  <si>
    <t>@CONV_PREVDIV</t>
  </si>
  <si>
    <t>CONV_PREDIV</t>
  </si>
  <si>
    <t>Convertible Pref. Dividends</t>
  </si>
  <si>
    <t>@NPAT_NORM</t>
  </si>
  <si>
    <t>NPAT_NORM</t>
  </si>
  <si>
    <t>Adjusted Net Profit</t>
  </si>
  <si>
    <t>Check - NPAT</t>
  </si>
  <si>
    <t>Section II - Balance sheet</t>
  </si>
  <si>
    <t>Assets</t>
  </si>
  <si>
    <t>@CASH</t>
  </si>
  <si>
    <t>@CA_REC</t>
  </si>
  <si>
    <t>CA_REC</t>
  </si>
  <si>
    <t>Current Receivables</t>
  </si>
  <si>
    <t>@CA_INVENT</t>
  </si>
  <si>
    <t>CA_INVENT</t>
  </si>
  <si>
    <t>Inventories</t>
  </si>
  <si>
    <t>@CA_INVEST</t>
  </si>
  <si>
    <t>CA_INVEST</t>
  </si>
  <si>
    <t>Current Investments</t>
  </si>
  <si>
    <t>@CA_OTH</t>
  </si>
  <si>
    <t>CA_OTH</t>
  </si>
  <si>
    <t>Other Current Assets</t>
  </si>
  <si>
    <t>@CA_TOTAL</t>
  </si>
  <si>
    <t>CA_TOTAL</t>
  </si>
  <si>
    <t>Total Current Assets</t>
  </si>
  <si>
    <t>@NCA_REC</t>
  </si>
  <si>
    <t>NCA_REC</t>
  </si>
  <si>
    <t>Non-Current Receivables</t>
  </si>
  <si>
    <t>@NCA_INVEST</t>
  </si>
  <si>
    <t>NCA_INVEST</t>
  </si>
  <si>
    <t>Non-Current Investments</t>
  </si>
  <si>
    <t>@NCA_PPE</t>
  </si>
  <si>
    <t>NCA_PPE</t>
  </si>
  <si>
    <t>@NCA_TAX</t>
  </si>
  <si>
    <t>NCA_TAX</t>
  </si>
  <si>
    <t>Tax Assets</t>
  </si>
  <si>
    <t>@NCA_GW</t>
  </si>
  <si>
    <t>NCA_GW</t>
  </si>
  <si>
    <t>@NCA_INTANG</t>
  </si>
  <si>
    <t>NCA_INTANG</t>
  </si>
  <si>
    <t>Intangibles</t>
  </si>
  <si>
    <t>@NCA_OTH</t>
  </si>
  <si>
    <t>NCA_OTH</t>
  </si>
  <si>
    <t>Other Non-Current Assets</t>
  </si>
  <si>
    <t>@NCA_TOTAL</t>
  </si>
  <si>
    <t>NCA_TOTAL</t>
  </si>
  <si>
    <t>Total Non-Current Assets</t>
  </si>
  <si>
    <t>@CA_WKCAP</t>
  </si>
  <si>
    <t>CA_WKCAP</t>
  </si>
  <si>
    <t>Total Working Capital - Assets</t>
  </si>
  <si>
    <t>@ASSETS_TOTAL</t>
  </si>
  <si>
    <t>ASSETS_TOTAL</t>
  </si>
  <si>
    <t>Total Assets</t>
  </si>
  <si>
    <t>Check - Assets</t>
  </si>
  <si>
    <t>Liabilities</t>
  </si>
  <si>
    <t>@CL_BOD</t>
  </si>
  <si>
    <t>CL_BOD</t>
  </si>
  <si>
    <t>Bank Overdraft</t>
  </si>
  <si>
    <t>@CL_ACCTSPAY</t>
  </si>
  <si>
    <t>CL_ACCTSPAY</t>
  </si>
  <si>
    <t>Current Accounts Payable</t>
  </si>
  <si>
    <t>@STDEBT</t>
  </si>
  <si>
    <t>STDEBT</t>
  </si>
  <si>
    <t>Short Term Debt</t>
  </si>
  <si>
    <t>@CL_PROV</t>
  </si>
  <si>
    <t>CL_PROV</t>
  </si>
  <si>
    <t>Current Provisions</t>
  </si>
  <si>
    <t>@CL_TAX</t>
  </si>
  <si>
    <t>CL_TAX</t>
  </si>
  <si>
    <t>Tax Liabilities</t>
  </si>
  <si>
    <t>@CL_OTH</t>
  </si>
  <si>
    <t>CL_OTH</t>
  </si>
  <si>
    <t>@CL_TOTAL</t>
  </si>
  <si>
    <t>CL_TOTAL</t>
  </si>
  <si>
    <t>Total Current liabilities</t>
  </si>
  <si>
    <t>@LTDEBT</t>
  </si>
  <si>
    <t>LTDEBT</t>
  </si>
  <si>
    <t>Long Term Debt</t>
  </si>
  <si>
    <t>@NCL_PREF</t>
  </si>
  <si>
    <t>NCL_PREF</t>
  </si>
  <si>
    <t>Preference shares treated as debt</t>
  </si>
  <si>
    <t>@NCL_CONV</t>
  </si>
  <si>
    <t>NCL_CONV</t>
  </si>
  <si>
    <t>Convertibles treated as debt</t>
  </si>
  <si>
    <t>@NCL_ACCTSPAY</t>
  </si>
  <si>
    <t>NCL_ACCTSPAY</t>
  </si>
  <si>
    <t>Non-Current Accounts Payable</t>
  </si>
  <si>
    <t>@NCL_DEFTAX</t>
  </si>
  <si>
    <t>NCL_DEFTAX</t>
  </si>
  <si>
    <t>Deferred Tax Payable</t>
  </si>
  <si>
    <t>@NCL_PROV</t>
  </si>
  <si>
    <t>NCL_PROV</t>
  </si>
  <si>
    <t>Non-Current Provisions</t>
  </si>
  <si>
    <t>@NCL_OTH</t>
  </si>
  <si>
    <t>NCL_OTH</t>
  </si>
  <si>
    <t>Other Non-Current Liabilities</t>
  </si>
  <si>
    <t>@NCL_TOTAL</t>
  </si>
  <si>
    <t>NCL_TOTAL</t>
  </si>
  <si>
    <t>Total Non-Current Liabilities</t>
  </si>
  <si>
    <t>@CL_WKCAP</t>
  </si>
  <si>
    <t>CL_WKCAP</t>
  </si>
  <si>
    <t>Total Working Capital - Liabilities</t>
  </si>
  <si>
    <t>@LIAB_TOTAL</t>
  </si>
  <si>
    <t>LIAB_TOTAL</t>
  </si>
  <si>
    <t>Total Liabilities</t>
  </si>
  <si>
    <t>Check - Liabilities</t>
  </si>
  <si>
    <t>Equity:</t>
  </si>
  <si>
    <t>@SE_CAP</t>
  </si>
  <si>
    <t>SE_CAP</t>
  </si>
  <si>
    <t>Ordinary share capital</t>
  </si>
  <si>
    <t>@SE_RES</t>
  </si>
  <si>
    <t>SE_RES</t>
  </si>
  <si>
    <t>@SE_RETEARG</t>
  </si>
  <si>
    <t>SE_RETEARG</t>
  </si>
  <si>
    <t>Retained profits</t>
  </si>
  <si>
    <t>@SE_OTHEREQ</t>
  </si>
  <si>
    <t>SE_OTHEREQ</t>
  </si>
  <si>
    <t>Other equity</t>
  </si>
  <si>
    <t>@SE_PREOE_M</t>
  </si>
  <si>
    <t>SE_PREOE_M</t>
  </si>
  <si>
    <t>Parent Equity</t>
  </si>
  <si>
    <t>@SE_OEMINEQ</t>
  </si>
  <si>
    <t>SE_OEMINEQ</t>
  </si>
  <si>
    <t>Minority Equity/Outside Equity Interests</t>
  </si>
  <si>
    <t>@SE_TOTAL</t>
  </si>
  <si>
    <t>SE_TOTAL</t>
  </si>
  <si>
    <t>Total Shareholders' Equity</t>
  </si>
  <si>
    <t>Balance Sheet Check</t>
  </si>
  <si>
    <t>@NETASSETS</t>
  </si>
  <si>
    <t>NETASSETS</t>
  </si>
  <si>
    <t>Net Assets</t>
  </si>
  <si>
    <t>@NETDEBT</t>
  </si>
  <si>
    <t>NETDEBT</t>
  </si>
  <si>
    <t>Net Debt</t>
  </si>
  <si>
    <t>@NTA</t>
  </si>
  <si>
    <t>NTA</t>
  </si>
  <si>
    <t>Net Tangible Assets</t>
  </si>
  <si>
    <t>@BV</t>
  </si>
  <si>
    <t>BV</t>
  </si>
  <si>
    <t>Book Value</t>
  </si>
  <si>
    <t>@AVGASSETS</t>
  </si>
  <si>
    <t>AVGASSETS</t>
  </si>
  <si>
    <t>Average Total Assets</t>
  </si>
  <si>
    <t>@AVGEQ</t>
  </si>
  <si>
    <t>AVGEQ</t>
  </si>
  <si>
    <t>Average Total Equity</t>
  </si>
  <si>
    <t>Section III - Cash Flow</t>
  </si>
  <si>
    <t>Operating Cash Flows:</t>
  </si>
  <si>
    <t>@CF_EBITDA</t>
  </si>
  <si>
    <t>CF_EBITDA</t>
  </si>
  <si>
    <t>@CF_DEPAMORT</t>
  </si>
  <si>
    <t>CF_DEPAMORT</t>
  </si>
  <si>
    <t>Depreciation &amp; Amortisation</t>
  </si>
  <si>
    <t>@CF_WCC</t>
  </si>
  <si>
    <t>CF_WCC</t>
  </si>
  <si>
    <t>@CF_OTHOPCF</t>
  </si>
  <si>
    <t>CF_OTHOPCF</t>
  </si>
  <si>
    <t>Other Operating Cashflows</t>
  </si>
  <si>
    <t>@CF_GROSSOPCF</t>
  </si>
  <si>
    <t>CF_GROSSOPCF</t>
  </si>
  <si>
    <t>Gross Operating Cash Flow</t>
  </si>
  <si>
    <t>@CF_NETINT</t>
  </si>
  <si>
    <t>CF_NETINT</t>
  </si>
  <si>
    <t>@CF_TAXPAID</t>
  </si>
  <si>
    <t>CF_TAXPAID</t>
  </si>
  <si>
    <t xml:space="preserve">Tax Paid </t>
  </si>
  <si>
    <t>@CF_OPCF</t>
  </si>
  <si>
    <t>CF_OPCF</t>
  </si>
  <si>
    <t>Net Operating Cash Flows</t>
  </si>
  <si>
    <t>Net Operating Cash Flows Check</t>
  </si>
  <si>
    <t>Investing Cash Flows:</t>
  </si>
  <si>
    <t>@CF_CAPEXMAINT</t>
  </si>
  <si>
    <t>CF_CAPEXMAINT</t>
  </si>
  <si>
    <t>Maintenance Capex</t>
  </si>
  <si>
    <t>@CF_CAPEXEXPAN</t>
  </si>
  <si>
    <t>CF_CAPEXEXPAN</t>
  </si>
  <si>
    <t>Expansionary Capex</t>
  </si>
  <si>
    <t>@CF_PPE</t>
  </si>
  <si>
    <t>CF_PPE</t>
  </si>
  <si>
    <t>Purchase of PP&amp;E</t>
  </si>
  <si>
    <t>@CF_INVEST</t>
  </si>
  <si>
    <t>CF_INVEST</t>
  </si>
  <si>
    <t>Purchase of Investments</t>
  </si>
  <si>
    <t>@CF_ACQ</t>
  </si>
  <si>
    <t>CF_ACQ</t>
  </si>
  <si>
    <t>Purchase of Subsidiaries</t>
  </si>
  <si>
    <t>@CF_DIVEST</t>
  </si>
  <si>
    <t>CF_DIVEST</t>
  </si>
  <si>
    <t>Proceeds from Asset Sales</t>
  </si>
  <si>
    <t>@CF_LOANS</t>
  </si>
  <si>
    <t>CF_LOANS</t>
  </si>
  <si>
    <t>Movement in Loans (net)</t>
  </si>
  <si>
    <t>@CF_OTHINVCF</t>
  </si>
  <si>
    <t>CF_OTHINVCF</t>
  </si>
  <si>
    <t>Other Investing Cashflows</t>
  </si>
  <si>
    <t>@CF_INVCF</t>
  </si>
  <si>
    <t>CF_INVCF</t>
  </si>
  <si>
    <t>Total Investing CashFlow</t>
  </si>
  <si>
    <t>Investing Cash Flows Check</t>
  </si>
  <si>
    <t>Financing Cash Flows:</t>
  </si>
  <si>
    <t>@CF_EQRAISE</t>
  </si>
  <si>
    <t>CF_EQRAISE</t>
  </si>
  <si>
    <t>Net Proceeds from the Issue/Buyback of Securities</t>
  </si>
  <si>
    <t>@CF_BORR</t>
  </si>
  <si>
    <t>CF_BORR</t>
  </si>
  <si>
    <t>Proceeds from Borrowings</t>
  </si>
  <si>
    <t>@CF_BORRREPAY</t>
  </si>
  <si>
    <t>CF_BORRREPAY</t>
  </si>
  <si>
    <t>Repayment of Borrowings</t>
  </si>
  <si>
    <t>@CF_DIVPAID</t>
  </si>
  <si>
    <t>CF_DIVPAID</t>
  </si>
  <si>
    <t>Distributions</t>
  </si>
  <si>
    <t>@CF_DIVREC</t>
  </si>
  <si>
    <t>CF_DIVREC</t>
  </si>
  <si>
    <t>Dividends Received</t>
  </si>
  <si>
    <t>@CF_OTHFINCF</t>
  </si>
  <si>
    <t>CF_OTHFINCF</t>
  </si>
  <si>
    <t>Other Financing Cashflows</t>
  </si>
  <si>
    <t>@CF_FINCF</t>
  </si>
  <si>
    <t>CF_FINCF</t>
  </si>
  <si>
    <t>Total Financing Cash Flow</t>
  </si>
  <si>
    <t>Financing Cash Flows Check</t>
  </si>
  <si>
    <t>@CF_FXADJ</t>
  </si>
  <si>
    <t>CF_FXADJ</t>
  </si>
  <si>
    <t>Exchange Rate Adjustments</t>
  </si>
  <si>
    <t>@CF_CASHCHG</t>
  </si>
  <si>
    <t>CF_CASHCHG</t>
  </si>
  <si>
    <t>Net Change in Cash</t>
  </si>
  <si>
    <t>@CF_FCF</t>
  </si>
  <si>
    <t>CF_FCF</t>
  </si>
  <si>
    <t>Free Cashflow</t>
  </si>
  <si>
    <t>@CF_CASHSTART</t>
  </si>
  <si>
    <t>CF_CASHSTART</t>
  </si>
  <si>
    <t>Cash at start of period</t>
  </si>
  <si>
    <t>@CF_CASHEND</t>
  </si>
  <si>
    <t>CF_CASHEND</t>
  </si>
  <si>
    <t>Cash at end of period</t>
  </si>
  <si>
    <t>Cash Flow Statement Check</t>
  </si>
  <si>
    <t>Section IV - Share Data</t>
  </si>
  <si>
    <t>@CLOSE_SHRS</t>
  </si>
  <si>
    <t>CLOSE_SHRS</t>
  </si>
  <si>
    <t>Shares Outstanding - closing</t>
  </si>
  <si>
    <t>@FUL_DIL_SHRS</t>
  </si>
  <si>
    <t>FUL_DIL_SHRS</t>
  </si>
  <si>
    <t>Shares Outstanding - diluted</t>
  </si>
  <si>
    <t>@WT_AVG_SHRS</t>
  </si>
  <si>
    <t>WT_AVG_SHRS</t>
  </si>
  <si>
    <t>Shares Outstanding - weighted average</t>
  </si>
  <si>
    <t>@CONV_SHRS</t>
  </si>
  <si>
    <t>CONV_SHRS</t>
  </si>
  <si>
    <t>Convertibles</t>
  </si>
  <si>
    <t>@PREF_SHRS</t>
  </si>
  <si>
    <t>PREF_SHRS</t>
  </si>
  <si>
    <t>Preference shares</t>
  </si>
  <si>
    <t>@OPTIONS</t>
  </si>
  <si>
    <t>OPTIONS</t>
  </si>
  <si>
    <t>Options</t>
  </si>
  <si>
    <t>@PP_SHRS</t>
  </si>
  <si>
    <t>PP_SHRS</t>
  </si>
  <si>
    <t>Partly paids</t>
  </si>
  <si>
    <t>@CAF</t>
  </si>
  <si>
    <t>CAF</t>
  </si>
  <si>
    <t>Capital Adjustment Factor</t>
  </si>
  <si>
    <t>Section V - Per Share Data</t>
  </si>
  <si>
    <t>@EPS_PREAB</t>
  </si>
  <si>
    <t>EPS_PREAB</t>
  </si>
  <si>
    <t>EPS - Pre-abnormals</t>
  </si>
  <si>
    <t>@EPS</t>
  </si>
  <si>
    <t>EPS - Reported</t>
  </si>
  <si>
    <t>@EPS_NORM</t>
  </si>
  <si>
    <t>EPS_NORM</t>
  </si>
  <si>
    <t>EPS - Adjusted</t>
  </si>
  <si>
    <t>Adj_EPS_Growth</t>
  </si>
  <si>
    <t>EPS Growth</t>
  </si>
  <si>
    <t>PE Ratio</t>
  </si>
  <si>
    <t>PEG_Ratio</t>
  </si>
  <si>
    <t>PEG Ratio</t>
  </si>
  <si>
    <t>@DPS</t>
  </si>
  <si>
    <t>DPS AUDc</t>
  </si>
  <si>
    <t>Dividend_Yield</t>
  </si>
  <si>
    <t>Dividend Yield</t>
  </si>
  <si>
    <t>@FRK_PCT</t>
  </si>
  <si>
    <t>FRK_PCT</t>
  </si>
  <si>
    <t>Franking</t>
  </si>
  <si>
    <t>@FRK_TAXRATE</t>
  </si>
  <si>
    <t>FRK_TAXRATE</t>
  </si>
  <si>
    <t>Franking Tax Rate (%)</t>
  </si>
  <si>
    <t>@EFF_TAX_RATE</t>
  </si>
  <si>
    <t>EFF_TAX_RATE</t>
  </si>
  <si>
    <t>Effective tax rate (%)</t>
  </si>
  <si>
    <t>@CFPS</t>
  </si>
  <si>
    <t>CFPS</t>
  </si>
  <si>
    <t>Cash Flow Per Share</t>
  </si>
  <si>
    <t>@BVPS</t>
  </si>
  <si>
    <t>BVPS</t>
  </si>
  <si>
    <t>Book Value Per Share</t>
  </si>
  <si>
    <t>@NTAPS</t>
  </si>
  <si>
    <t>NTAPS</t>
  </si>
  <si>
    <t>NTA Per Share</t>
  </si>
  <si>
    <t>Section VI - Analysis</t>
  </si>
  <si>
    <t>Margins</t>
  </si>
  <si>
    <t>@EBITDA_MARGIN</t>
  </si>
  <si>
    <t>EBITDA_MARGIN</t>
  </si>
  <si>
    <t>EBITDA Margin (%)</t>
  </si>
  <si>
    <t>@EBIT_MARGIN</t>
  </si>
  <si>
    <t>EBIT_MARGIN</t>
  </si>
  <si>
    <t>EBIT Margin (%)</t>
  </si>
  <si>
    <t>@NPAT_MARGIN</t>
  </si>
  <si>
    <t>NPAT_MARGIN</t>
  </si>
  <si>
    <t>Net Profit Margin (%)</t>
  </si>
  <si>
    <t>Returns</t>
  </si>
  <si>
    <t>@CE</t>
  </si>
  <si>
    <t>CE</t>
  </si>
  <si>
    <t>Capital Employed</t>
  </si>
  <si>
    <t>@ROCE</t>
  </si>
  <si>
    <t>ROCE</t>
  </si>
  <si>
    <t>Return on Capital Employed (%)</t>
  </si>
  <si>
    <t>@EBITDA_CE</t>
  </si>
  <si>
    <t>EBITDA_CE</t>
  </si>
  <si>
    <t>EBITDA/Capital Employed (%)</t>
  </si>
  <si>
    <t>@ROE</t>
  </si>
  <si>
    <t>ROE</t>
  </si>
  <si>
    <t>Return on Equity (%)</t>
  </si>
  <si>
    <t>@ROA</t>
  </si>
  <si>
    <t>ROA</t>
  </si>
  <si>
    <t>Return on Assets (%)</t>
  </si>
  <si>
    <t>@NETDEBT_EQ</t>
  </si>
  <si>
    <t>NETDEBT_EQ</t>
  </si>
  <si>
    <t>Net Debt/Equity (%)</t>
  </si>
  <si>
    <t>@NETDEBT_NETDEBTEQ</t>
  </si>
  <si>
    <t>NETDEBT_NETDEBTEQ</t>
  </si>
  <si>
    <t>Net Debt/Net Debt &amp; Equity (%)</t>
  </si>
  <si>
    <t>@NETDEBT_EBITDA</t>
  </si>
  <si>
    <t>NETDEBT_EBITDA</t>
  </si>
  <si>
    <t>Net Debt/EBITDA (x)</t>
  </si>
  <si>
    <t>@NETINTCOV</t>
  </si>
  <si>
    <t>NETINTCOV</t>
  </si>
  <si>
    <t>Net Interest Cover (x)</t>
  </si>
  <si>
    <t>@FIXCHGCOST</t>
  </si>
  <si>
    <t>FIXCHGCOST</t>
  </si>
  <si>
    <t>Fixed Charges Cost</t>
  </si>
  <si>
    <t>@FIXCHGCOV</t>
  </si>
  <si>
    <t>FIXCHGCOV</t>
  </si>
  <si>
    <t>Fixed Charges Cover (x)</t>
  </si>
  <si>
    <t>@GOCF_EBITDA</t>
  </si>
  <si>
    <t>GOCF_EBITDA</t>
  </si>
  <si>
    <t>GOCF/EBITDA (%)</t>
  </si>
  <si>
    <t>@CAPEX_SALES</t>
  </si>
  <si>
    <t>CAPEX_SALES</t>
  </si>
  <si>
    <t>Total Capex/Sales (%)</t>
  </si>
  <si>
    <t>@CAPEX_DEP</t>
  </si>
  <si>
    <t>CAPEX_DEP</t>
  </si>
  <si>
    <t>Total Capex/Depreciation (x)</t>
  </si>
  <si>
    <t>@WKGCAP_SALES</t>
  </si>
  <si>
    <t>WKGCAP_SALES</t>
  </si>
  <si>
    <t>Working Capital/Sales (%)</t>
  </si>
  <si>
    <t>@DEP_PPE</t>
  </si>
  <si>
    <t>DEP_PPE</t>
  </si>
  <si>
    <t>D&amp;A/PP&amp;E (%)</t>
  </si>
  <si>
    <t>EV_EBITDA</t>
  </si>
  <si>
    <t>EV/EBITDA (x)</t>
  </si>
  <si>
    <t>Section VII - Segmentals</t>
  </si>
  <si>
    <t>@SEG1_REV</t>
  </si>
  <si>
    <t>DIVISION_1</t>
  </si>
  <si>
    <t>@SEG2_REV</t>
  </si>
  <si>
    <t>DIVISION_2</t>
  </si>
  <si>
    <t>@SEG3_REV</t>
  </si>
  <si>
    <t>DIVISION_3</t>
  </si>
  <si>
    <t>@SEG4_REV</t>
  </si>
  <si>
    <t>DIVISION_4</t>
  </si>
  <si>
    <t>@SEG5_REV</t>
  </si>
  <si>
    <t>DIVISION_5</t>
  </si>
  <si>
    <t>@SEG6_REV</t>
  </si>
  <si>
    <t>DIVISION_6</t>
  </si>
  <si>
    <t>@SEG7_REV</t>
  </si>
  <si>
    <t>DIVISION_7</t>
  </si>
  <si>
    <t>@SEG8_REV</t>
  </si>
  <si>
    <t>DIVISION_8</t>
  </si>
  <si>
    <t>@SEG9_REV</t>
  </si>
  <si>
    <t>DIVISION_9</t>
  </si>
  <si>
    <t>@SEG10_REV</t>
  </si>
  <si>
    <t>DIVISION_10</t>
  </si>
  <si>
    <t>@SEG1_PROF1</t>
  </si>
  <si>
    <t>DIVISION_11</t>
  </si>
  <si>
    <t>@SEG2_PROF1</t>
  </si>
  <si>
    <t>DIVISION_12</t>
  </si>
  <si>
    <t>@SEG3_PROF1</t>
  </si>
  <si>
    <t>DIVISION_13</t>
  </si>
  <si>
    <t>@SEG4_PROF1</t>
  </si>
  <si>
    <t>DIVISION_14</t>
  </si>
  <si>
    <t>@SEG5_PROF1</t>
  </si>
  <si>
    <t>DIVISION_15</t>
  </si>
  <si>
    <t>@SEG6_PROF1</t>
  </si>
  <si>
    <t>DIVISION_16</t>
  </si>
  <si>
    <t>@SEG7_PROF1</t>
  </si>
  <si>
    <t>DIVISION_17</t>
  </si>
  <si>
    <t>@SEG8_PROF1</t>
  </si>
  <si>
    <t>DIVISION_18</t>
  </si>
  <si>
    <t>@SEG9_PROF1</t>
  </si>
  <si>
    <t>DIVISION_19</t>
  </si>
  <si>
    <t>@SEG10_PROF1</t>
  </si>
  <si>
    <t>DIVISION_20</t>
  </si>
  <si>
    <t>Section VIII - Key Macro Assumptions</t>
  </si>
  <si>
    <t>@KEYMACASS1</t>
  </si>
  <si>
    <t>KEYMACASS1</t>
  </si>
  <si>
    <t>@KEYMACASS2</t>
  </si>
  <si>
    <t>KEYMACASS2</t>
  </si>
  <si>
    <t>@KEYMACASS3</t>
  </si>
  <si>
    <t>KEYMACASS3</t>
  </si>
  <si>
    <t>@KEYMACASS4</t>
  </si>
  <si>
    <t>KEYMACASS4</t>
  </si>
  <si>
    <t>@KEYMACASS5</t>
  </si>
  <si>
    <t>KEYMACASS5</t>
  </si>
  <si>
    <t>@KEYMACASS6</t>
  </si>
  <si>
    <t>KEYMACASS6</t>
  </si>
  <si>
    <t>@KEYMACASS7</t>
  </si>
  <si>
    <t>KEYMACASS7</t>
  </si>
  <si>
    <t>@KEYMACASS8</t>
  </si>
  <si>
    <t>KEYMACASS8</t>
  </si>
  <si>
    <t>@KEYMACASS9</t>
  </si>
  <si>
    <t>KEYMACASS9</t>
  </si>
  <si>
    <t>@KEYMACASS10</t>
  </si>
  <si>
    <t>KEYMACASS10</t>
  </si>
  <si>
    <t>Section IX - Aggregated Items</t>
  </si>
  <si>
    <t>@EBIT_ASSO</t>
  </si>
  <si>
    <t>EBIT_ASSO</t>
  </si>
  <si>
    <t>EBIT (incl associates)</t>
  </si>
  <si>
    <t>@MIN_ASSO</t>
  </si>
  <si>
    <t>MIN_ASSO</t>
  </si>
  <si>
    <t>Other/Outside equity interests</t>
  </si>
  <si>
    <t>@NET_ABNORMALS</t>
  </si>
  <si>
    <t>NET_ABNORMALS</t>
  </si>
  <si>
    <t>Net abnormal items</t>
  </si>
  <si>
    <t>@OTH_ASSETS</t>
  </si>
  <si>
    <t>OTH_ASSETS</t>
  </si>
  <si>
    <t>@OTH_LIAB</t>
  </si>
  <si>
    <t>OTH_LIAB</t>
  </si>
  <si>
    <t>Other Liabilities</t>
  </si>
  <si>
    <t>@TOT_DEBT</t>
  </si>
  <si>
    <t>TOT_DEBT</t>
  </si>
  <si>
    <t>@CF_OTHCF</t>
  </si>
  <si>
    <t>CF_OTHCF</t>
  </si>
  <si>
    <t>Other Operating Cashflow</t>
  </si>
  <si>
    <t>@CF_NETACQ</t>
  </si>
  <si>
    <t>CF_NETACQ</t>
  </si>
  <si>
    <t>Net acquisitions / Growth capex</t>
  </si>
  <si>
    <t>@CF_NETBORR</t>
  </si>
  <si>
    <t>CF_NETBORR</t>
  </si>
  <si>
    <t>Net borrowings</t>
  </si>
  <si>
    <t>@CF_OTH</t>
  </si>
  <si>
    <t>CF_OTH</t>
  </si>
  <si>
    <t>@END</t>
  </si>
  <si>
    <t>QTR FY</t>
  </si>
  <si>
    <t>KPI's</t>
  </si>
  <si>
    <t xml:space="preserve">Underlying </t>
  </si>
  <si>
    <t>XX</t>
  </si>
  <si>
    <t>Q2 Net Win by ~1.75pp</t>
  </si>
  <si>
    <t>Adjusted Net Win</t>
  </si>
  <si>
    <t>Receipts from customers (Client deposits)</t>
  </si>
  <si>
    <t>Payments to customers (Client withdrawals)</t>
  </si>
  <si>
    <t>Staff Costs</t>
  </si>
  <si>
    <t>Administration and Corporate costs</t>
  </si>
  <si>
    <t>Net Deposits</t>
  </si>
  <si>
    <t>Difference</t>
  </si>
  <si>
    <t>Client Balance</t>
  </si>
  <si>
    <t>Change</t>
  </si>
  <si>
    <t>Net increase / (decrease) in cash and cash equivalents</t>
  </si>
  <si>
    <t>Cash Net of Client Balances</t>
  </si>
  <si>
    <t>FY22</t>
  </si>
  <si>
    <t>FY23</t>
  </si>
  <si>
    <t>FY24</t>
  </si>
  <si>
    <t>FY25</t>
  </si>
  <si>
    <t>FY31</t>
  </si>
  <si>
    <t>FY32</t>
  </si>
  <si>
    <t>FY33</t>
  </si>
  <si>
    <t>FY34</t>
  </si>
  <si>
    <t>AUSTRALIAN WAGERING</t>
  </si>
  <si>
    <t>Gross Margin</t>
  </si>
  <si>
    <t>New Win</t>
  </si>
  <si>
    <t>Net Margin</t>
  </si>
  <si>
    <t>Growth Rates</t>
  </si>
  <si>
    <t>Advertising &amp; Marketing Opex % of Net Win</t>
  </si>
  <si>
    <t>Total Opex % of Net Win</t>
  </si>
  <si>
    <t>P&amp;L</t>
  </si>
  <si>
    <t>Operating cash flow</t>
  </si>
  <si>
    <t>Investing cash flow</t>
  </si>
  <si>
    <t>Financing cash flow</t>
  </si>
  <si>
    <t>Closing cash</t>
  </si>
  <si>
    <t>Net cash flow</t>
  </si>
  <si>
    <t>OCF</t>
  </si>
  <si>
    <t>ICF</t>
  </si>
  <si>
    <t>FCF</t>
  </si>
  <si>
    <t>NCF</t>
  </si>
  <si>
    <t>Total Current Liabilities</t>
  </si>
  <si>
    <t>Common stock</t>
  </si>
  <si>
    <t>Total Equity</t>
  </si>
  <si>
    <t>Balance</t>
  </si>
  <si>
    <t>CA</t>
  </si>
  <si>
    <t>NCA</t>
  </si>
  <si>
    <t>CL</t>
  </si>
  <si>
    <t>NCL</t>
  </si>
  <si>
    <t>Excel</t>
  </si>
  <si>
    <t>Visible Alpha</t>
  </si>
  <si>
    <t>BBT_AU</t>
  </si>
  <si>
    <t>PriceClose</t>
  </si>
  <si>
    <t>Current</t>
  </si>
  <si>
    <t>MarketCap</t>
  </si>
  <si>
    <t>SD</t>
  </si>
  <si>
    <t>EnterpriseValue</t>
  </si>
  <si>
    <t>consensus.vaactuals</t>
  </si>
  <si>
    <t>Price / Earnings</t>
  </si>
  <si>
    <t>CD</t>
  </si>
  <si>
    <t>Price / Earnings, Operating</t>
  </si>
  <si>
    <t>Enterprise Value / EBITDA</t>
  </si>
  <si>
    <t>Consenus</t>
  </si>
  <si>
    <t>EBITDA - operating (incl. equity investments)</t>
  </si>
  <si>
    <t>NPATA</t>
  </si>
  <si>
    <t> NPATA - Operating</t>
  </si>
  <si>
    <t>Net income/(loss)</t>
  </si>
  <si>
    <t>Market Trading Multiples - VA</t>
  </si>
  <si>
    <t>P/E - NPATA</t>
  </si>
  <si>
    <t>E&amp;P Multiples</t>
  </si>
  <si>
    <t>P/E - NPAT</t>
  </si>
  <si>
    <t>Net Debt - Company Reported</t>
  </si>
  <si>
    <t>Leverage - Company Reported</t>
  </si>
  <si>
    <t>Net Debt - Corporate (incl Leases &amp; Client Deposits)</t>
  </si>
  <si>
    <t>Leverage - Corporate</t>
  </si>
  <si>
    <t>Interest</t>
  </si>
  <si>
    <t>Net Interest Expenses</t>
  </si>
  <si>
    <t>Average Interest Rate</t>
  </si>
  <si>
    <t>Interest Cover (Normalised EBITDA / Net Interest)</t>
  </si>
  <si>
    <t>Share Count</t>
  </si>
  <si>
    <t>Shares on issue (m) - Opening</t>
  </si>
  <si>
    <t>Shares on issue (m) - Close</t>
  </si>
  <si>
    <t>Shares on issue (m) - Average</t>
  </si>
  <si>
    <t>Shares on issue (m) - Close - Diluted</t>
  </si>
  <si>
    <t>WANOS used for EPS</t>
  </si>
  <si>
    <t>Free Cash Flow</t>
  </si>
  <si>
    <t>Capex</t>
  </si>
  <si>
    <t>Capex % of Revenue</t>
  </si>
  <si>
    <t>1H26</t>
  </si>
  <si>
    <t>1H25A</t>
  </si>
  <si>
    <t>NOTES</t>
  </si>
  <si>
    <t>YoY %</t>
  </si>
  <si>
    <t>% diff</t>
  </si>
  <si>
    <t>1H24</t>
  </si>
  <si>
    <t>2H24</t>
  </si>
  <si>
    <t>1H25</t>
  </si>
  <si>
    <t>2H25</t>
  </si>
  <si>
    <t>1H27</t>
  </si>
  <si>
    <t>2H27</t>
  </si>
  <si>
    <t>1H28</t>
  </si>
  <si>
    <t>2H28</t>
  </si>
  <si>
    <t>1H29</t>
  </si>
  <si>
    <t>2H29</t>
  </si>
  <si>
    <t>1H30</t>
  </si>
  <si>
    <t>2H30</t>
  </si>
  <si>
    <t>1H31</t>
  </si>
  <si>
    <t>2H31</t>
  </si>
  <si>
    <t>1H32</t>
  </si>
  <si>
    <t>2H32</t>
  </si>
  <si>
    <t>1H33</t>
  </si>
  <si>
    <t>2H33</t>
  </si>
  <si>
    <t>1H34</t>
  </si>
  <si>
    <t>2H34</t>
  </si>
  <si>
    <t>1H35</t>
  </si>
  <si>
    <t>2H35</t>
  </si>
  <si>
    <t>P&amp;L - Normalised</t>
  </si>
  <si>
    <t>Total revenue</t>
  </si>
  <si>
    <t>AEBITDA</t>
  </si>
  <si>
    <t>LNW_AU</t>
  </si>
  <si>
    <t>NPATA - Operating</t>
  </si>
  <si>
    <t>Wagering KPI's</t>
  </si>
  <si>
    <t>Gross Win Margin</t>
  </si>
  <si>
    <t>Net Win Margin</t>
  </si>
  <si>
    <t>Costs</t>
  </si>
  <si>
    <t>Costs % of Net Win</t>
  </si>
  <si>
    <t>FY25A</t>
  </si>
  <si>
    <t>FY26E</t>
  </si>
  <si>
    <t>New</t>
  </si>
  <si>
    <t>Old</t>
  </si>
  <si>
    <t>% change</t>
  </si>
  <si>
    <t>Units</t>
  </si>
  <si>
    <t>1H27E</t>
  </si>
  <si>
    <t>NORMALISED P&amp;L</t>
  </si>
  <si>
    <t>Normalised P&amp;L</t>
  </si>
  <si>
    <t>Margin</t>
  </si>
  <si>
    <t>FOR NOTE</t>
  </si>
  <si>
    <t>--------------</t>
  </si>
  <si>
    <t>~</t>
  </si>
  <si>
    <t>Overide Price</t>
  </si>
  <si>
    <t>betr Stake</t>
  </si>
  <si>
    <t>Market Price Value</t>
  </si>
  <si>
    <t>Overide Value</t>
  </si>
  <si>
    <t>0/1</t>
  </si>
  <si>
    <t>0 = Market Value, 1 = Overide Value</t>
  </si>
  <si>
    <t>betr</t>
  </si>
  <si>
    <t>&lt;&lt;</t>
  </si>
  <si>
    <t>Initiation</t>
  </si>
  <si>
    <t>Qtr First Take</t>
  </si>
  <si>
    <t>bill.richmond@betr.com.au</t>
  </si>
  <si>
    <t>blake.matthews@betr.com.au</t>
  </si>
  <si>
    <t>4Q25A</t>
  </si>
  <si>
    <t>4Q26E</t>
  </si>
  <si>
    <t>4Q26</t>
  </si>
  <si>
    <t>QTR Check</t>
  </si>
  <si>
    <t>Interest Received</t>
  </si>
  <si>
    <t>Interest &amp; Other Finance Costs</t>
  </si>
  <si>
    <t>Leased Assets</t>
  </si>
  <si>
    <t>Operating Cash Flows</t>
  </si>
  <si>
    <t>Payments to acquire:</t>
  </si>
  <si>
    <t>PPE</t>
  </si>
  <si>
    <t>Businesses</t>
  </si>
  <si>
    <t>Net Cash used from Operating Activities</t>
  </si>
  <si>
    <t>Intellectual Property</t>
  </si>
  <si>
    <t>Investing Cash Flows</t>
  </si>
  <si>
    <t>Net Cash from / (used in) Operating Activities</t>
  </si>
  <si>
    <t>Net Cash from / (used in) Investing Activities</t>
  </si>
  <si>
    <t>Net Cash from / (used in) Financing Activities</t>
  </si>
  <si>
    <t>Net Win Check</t>
  </si>
  <si>
    <t>Cash and Cash Equivalents at the end of the Quarter</t>
  </si>
  <si>
    <t>Less: Total Capex (PPE + Intangibles)</t>
  </si>
  <si>
    <t>FCF % of Revenue</t>
  </si>
  <si>
    <t>Total Opex</t>
  </si>
  <si>
    <t>Normalised Net Interest Costs</t>
  </si>
  <si>
    <t>Statutory Net Interest Costs</t>
  </si>
  <si>
    <t>1Q27</t>
  </si>
  <si>
    <t>2Q27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</si>
</sst>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4">
    <numFmt numFmtId="8" formatCode="&quot;$&quot;#,##0.00;[Red]\-&quot;$&quot;#,##0.00"/>
    <numFmt numFmtId="41" formatCode="_-* #,##0_-;\-* #,##0_-;_-* &quot;-&quot;_-;_-@_-"/>
    <numFmt numFmtId="43" formatCode="_-* #,##0.00_-;\-* #,##0.00_-;_-* &quot;-&quot;??_-;_-@_-"/>
    <numFmt numFmtId="164" formatCode="0;\(0\)"/>
    <numFmt numFmtId="165" formatCode="#,##0;\(#,##0\)"/>
    <numFmt numFmtId="166" formatCode="&quot;$&quot;#,##0.00_);[Red]\(&quot;$&quot;#,##0.00\)"/>
    <numFmt numFmtId="167" formatCode="0.0%"/>
    <numFmt numFmtId="168" formatCode="#,##0.0"/>
    <numFmt numFmtId="169" formatCode="_(* #,##0.0_);_(* \(#,##0.0\);_(* &quot;-&quot;??_);_(@_)"/>
    <numFmt numFmtId="170" formatCode="_(* #,##0.0_);_(* \(#,##0.0\);_(* &quot;-&quot;_);_(@_)"/>
    <numFmt numFmtId="171" formatCode="#,##0.0;\(#,##0.0\)"/>
    <numFmt numFmtId="172" formatCode="_(* #,##0.0000_);_(* \(#,##0.0000\);_(* &quot;-&quot;??_);_(@_)"/>
    <numFmt numFmtId="173" formatCode="_(* #,##0_);_(* \(#,##0\);_(* &quot;-&quot;??_);_(@_)"/>
    <numFmt numFmtId="174" formatCode="#,##0.00\x"/>
    <numFmt numFmtId="175" formatCode="#,##0.0;\-#,##0.0"/>
    <numFmt numFmtId="176" formatCode="0.0"/>
    <numFmt numFmtId="177" formatCode="_-* #,##0.0_-;\-* #,##0.0_-;_-* &quot;-&quot;??_-;_-@_-"/>
    <numFmt numFmtId="178" formatCode="#,##0.0\x"/>
    <numFmt numFmtId="179" formatCode="0.000"/>
    <numFmt numFmtId="180" formatCode="0&quot;E&quot;"/>
    <numFmt numFmtId="181" formatCode="0.0\x"/>
    <numFmt numFmtId="182" formatCode="[Color10]\+0.0%;[Red]\-0.0%;\-"/>
    <numFmt numFmtId="183" formatCode="&quot;$&quot;#,##0.00"/>
    <numFmt numFmtId="184" formatCode="_-[$$-C09]* #,##0_-;\-[$$-C09]* #,##0_-;_-[$$-C09]* &quot;-&quot;_-;_-@_-"/>
    <numFmt numFmtId="185" formatCode="_-[$$-C09]* #,##0.00_-;\-[$$-C09]* #,##0.00_-;_-[$$-C09]* &quot;-&quot;??_-;_-@_-"/>
    <numFmt numFmtId="186" formatCode="0.00\x"/>
    <numFmt numFmtId="187" formatCode="0.0\ &quot;ppts&quot;"/>
    <numFmt numFmtId="188" formatCode="0.0%_);\(0.0%\);0.0%_);@_)"/>
    <numFmt numFmtId="189" formatCode="&quot;$&quot;#,##0.00_);\(&quot;$&quot;#,##0.00\);&quot;$&quot;#,##0.00_);@_)"/>
    <numFmt numFmtId="190" formatCode="#,##0.00_);\(#,##0.00\);#,##0.00_);@_)"/>
    <numFmt numFmtId="191" formatCode="#,##0.0;\(#,##0.0\);\-"/>
    <numFmt numFmtId="192" formatCode="0.0%;\(0.0%\);\-"/>
    <numFmt numFmtId="193" formatCode="#,##0.000"/>
    <numFmt numFmtId="194" formatCode="&quot;$&quot;#,##0.000_);[Red]\(&quot;$&quot;#,##0.000\)"/>
  </numFmts>
  <fonts count="10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Times New Roman"/>
      <family val="1"/>
    </font>
    <font>
      <sz val="10"/>
      <name val="Calibri"/>
      <family val="2"/>
      <scheme val="minor"/>
    </font>
    <font>
      <sz val="10"/>
      <name val="Arial"/>
      <family val="2"/>
    </font>
    <font>
      <sz val="10"/>
      <color theme="1"/>
      <name val="Calibri"/>
      <family val="2"/>
      <scheme val="minor"/>
    </font>
    <font>
      <b/>
      <sz val="16"/>
      <name val="Calibri"/>
      <family val="2"/>
      <scheme val="minor"/>
    </font>
    <font>
      <b/>
      <sz val="10"/>
      <name val="Calibri"/>
      <family val="2"/>
      <scheme val="minor"/>
    </font>
    <font>
      <b/>
      <sz val="10"/>
      <color theme="0"/>
      <name val="Calibri"/>
      <family val="2"/>
      <scheme val="minor"/>
    </font>
    <font>
      <sz val="10"/>
      <color theme="0"/>
      <name val="Calibri"/>
      <family val="2"/>
      <scheme val="minor"/>
    </font>
    <font>
      <b/>
      <sz val="9"/>
      <name val="Calibri"/>
      <family val="2"/>
      <scheme val="minor"/>
    </font>
    <font>
      <b/>
      <sz val="10"/>
      <color indexed="12"/>
      <name val="Calibri"/>
      <family val="2"/>
      <scheme val="minor"/>
    </font>
    <font>
      <sz val="9"/>
      <color theme="0" tint="-0.34998626667073579"/>
      <name val="Calibri"/>
      <family val="2"/>
      <scheme val="minor"/>
    </font>
    <font>
      <sz val="10"/>
      <color indexed="8"/>
      <name val="Calibri"/>
      <family val="2"/>
      <scheme val="minor"/>
    </font>
    <font>
      <sz val="10"/>
      <color rgb="FF0000FF"/>
      <name val="Calibri"/>
      <family val="2"/>
      <scheme val="minor"/>
    </font>
    <font>
      <sz val="7"/>
      <color rgb="FF002570"/>
      <name val="Arial"/>
      <family val="2"/>
    </font>
    <font>
      <sz val="7"/>
      <color rgb="FF002570"/>
      <name val="Calibri"/>
      <family val="2"/>
      <scheme val="minor"/>
    </font>
    <font>
      <b/>
      <u/>
      <sz val="10"/>
      <name val="Calibri"/>
      <family val="2"/>
      <scheme val="minor"/>
    </font>
    <font>
      <u/>
      <sz val="10"/>
      <color indexed="12"/>
      <name val="Arial"/>
      <family val="2"/>
    </font>
    <font>
      <u/>
      <sz val="9"/>
      <color theme="0" tint="-0.34998626667073579"/>
      <name val="Calibri"/>
      <family val="2"/>
      <scheme val="minor"/>
    </font>
    <font>
      <sz val="8"/>
      <name val="Arial"/>
      <family val="2"/>
    </font>
    <font>
      <b/>
      <sz val="11"/>
      <color rgb="FFFF0000"/>
      <name val="Calibri"/>
      <family val="2"/>
      <scheme val="minor"/>
    </font>
    <font>
      <b/>
      <sz val="11"/>
      <name val="Calibri"/>
      <family val="2"/>
      <scheme val="minor"/>
    </font>
    <font>
      <sz val="10"/>
      <name val="MS Sans Serif"/>
      <family val="2"/>
    </font>
    <font>
      <sz val="10"/>
      <color rgb="FF00B050"/>
      <name val="Calibri"/>
      <family val="2"/>
      <scheme val="minor"/>
    </font>
    <font>
      <b/>
      <sz val="10"/>
      <color indexed="10"/>
      <name val="Calibri"/>
      <family val="2"/>
      <scheme val="minor"/>
    </font>
    <font>
      <i/>
      <sz val="9"/>
      <color theme="0" tint="-0.34998626667073579"/>
      <name val="Calibri"/>
      <family val="2"/>
      <scheme val="minor"/>
    </font>
    <font>
      <i/>
      <sz val="8"/>
      <name val="Calibri"/>
      <family val="2"/>
      <scheme val="minor"/>
    </font>
    <font>
      <i/>
      <sz val="8"/>
      <color theme="1"/>
      <name val="Calibri"/>
      <family val="2"/>
      <scheme val="minor"/>
    </font>
    <font>
      <sz val="8"/>
      <color rgb="FF00B050"/>
      <name val="Calibri"/>
      <family val="2"/>
      <scheme val="minor"/>
    </font>
    <font>
      <sz val="8"/>
      <color theme="1"/>
      <name val="Calibri"/>
      <family val="2"/>
      <scheme val="minor"/>
    </font>
    <font>
      <b/>
      <sz val="8"/>
      <color theme="0"/>
      <name val="Calibri"/>
      <family val="2"/>
      <scheme val="minor"/>
    </font>
    <font>
      <sz val="8"/>
      <name val="Calibri"/>
      <family val="2"/>
      <scheme val="minor"/>
    </font>
    <font>
      <b/>
      <sz val="8"/>
      <name val="Calibri"/>
      <family val="2"/>
      <scheme val="minor"/>
    </font>
    <font>
      <sz val="8"/>
      <color rgb="FF0000FF"/>
      <name val="Calibri"/>
      <family val="2"/>
      <scheme val="minor"/>
    </font>
    <font>
      <b/>
      <u/>
      <sz val="8"/>
      <color theme="0"/>
      <name val="Calibri"/>
      <family val="2"/>
      <scheme val="minor"/>
    </font>
    <font>
      <b/>
      <u/>
      <sz val="8"/>
      <color theme="1"/>
      <name val="Calibri"/>
      <family val="2"/>
      <scheme val="minor"/>
    </font>
    <font>
      <sz val="8"/>
      <color rgb="FFFF0000"/>
      <name val="Calibri"/>
      <family val="2"/>
      <scheme val="minor"/>
    </font>
    <font>
      <b/>
      <sz val="8"/>
      <color theme="1"/>
      <name val="Calibri"/>
      <family val="2"/>
      <scheme val="minor"/>
    </font>
    <font>
      <b/>
      <sz val="8"/>
      <color rgb="FFFF0000"/>
      <name val="Calibri"/>
      <family val="2"/>
      <scheme val="minor"/>
    </font>
    <font>
      <b/>
      <u/>
      <sz val="8"/>
      <color rgb="FFFF0000"/>
      <name val="Calibri"/>
      <family val="2"/>
      <scheme val="minor"/>
    </font>
    <font>
      <sz val="8"/>
      <color rgb="FF7030A0"/>
      <name val="Calibri"/>
      <family val="2"/>
      <scheme val="minor"/>
    </font>
    <font>
      <b/>
      <sz val="8"/>
      <color rgb="FF7030A0"/>
      <name val="Calibri"/>
      <family val="2"/>
      <scheme val="minor"/>
    </font>
    <font>
      <i/>
      <sz val="8"/>
      <color theme="7"/>
      <name val="Calibri"/>
      <family val="2"/>
      <scheme val="minor"/>
    </font>
    <font>
      <sz val="8"/>
      <color theme="7"/>
      <name val="Calibri"/>
      <family val="2"/>
      <scheme val="minor"/>
    </font>
    <font>
      <b/>
      <u/>
      <sz val="8"/>
      <color rgb="FF7030A0"/>
      <name val="Calibri"/>
      <family val="2"/>
      <scheme val="minor"/>
    </font>
    <font>
      <sz val="11"/>
      <color theme="1"/>
      <name val="Calibri"/>
      <family val="2"/>
    </font>
    <font>
      <sz val="8"/>
      <color theme="1"/>
      <name val="Calibri"/>
      <family val="2"/>
    </font>
    <font>
      <b/>
      <sz val="8"/>
      <color theme="1"/>
      <name val="Calibri"/>
      <family val="2"/>
    </font>
    <font>
      <b/>
      <sz val="8"/>
      <color theme="0"/>
      <name val="Calibri"/>
      <family val="2"/>
    </font>
    <font>
      <sz val="8"/>
      <color theme="0"/>
      <name val="Calibri"/>
      <family val="2"/>
    </font>
    <font>
      <i/>
      <sz val="8"/>
      <color theme="1"/>
      <name val="Calibri"/>
      <family val="2"/>
    </font>
    <font>
      <sz val="8"/>
      <color rgb="FF00B050"/>
      <name val="Calibri"/>
      <family val="2"/>
    </font>
    <font>
      <b/>
      <sz val="11"/>
      <color theme="1"/>
      <name val="Calibri"/>
      <family val="2"/>
    </font>
    <font>
      <sz val="8"/>
      <color indexed="8"/>
      <name val="Verdana"/>
      <family val="2"/>
    </font>
    <font>
      <b/>
      <sz val="10"/>
      <color rgb="FF0000FF"/>
      <name val="Calibri"/>
      <family val="2"/>
      <scheme val="minor"/>
    </font>
    <font>
      <b/>
      <u/>
      <sz val="11"/>
      <name val="Calibri"/>
      <family val="2"/>
      <scheme val="minor"/>
    </font>
    <font>
      <sz val="10"/>
      <color theme="4" tint="0.59999389629810485"/>
      <name val="Calibri"/>
      <family val="2"/>
      <scheme val="minor"/>
    </font>
    <font>
      <b/>
      <sz val="10"/>
      <color theme="8" tint="0.59999389629810485"/>
      <name val="Calibri"/>
      <family val="2"/>
      <scheme val="minor"/>
    </font>
    <font>
      <sz val="10"/>
      <color rgb="FF7030A0"/>
      <name val="Calibri"/>
      <family val="2"/>
      <scheme val="minor"/>
    </font>
    <font>
      <sz val="11"/>
      <color rgb="FF0000FF"/>
      <name val="Calibri"/>
      <family val="2"/>
      <scheme val="minor"/>
    </font>
    <font>
      <b/>
      <sz val="11"/>
      <color rgb="FF0000FF"/>
      <name val="Calibri"/>
      <family val="2"/>
      <scheme val="minor"/>
    </font>
    <font>
      <b/>
      <sz val="10"/>
      <color theme="1"/>
      <name val="Calibri"/>
      <family val="2"/>
      <scheme val="minor"/>
    </font>
    <font>
      <b/>
      <sz val="8"/>
      <color rgb="FF0000FF"/>
      <name val="Calibri"/>
      <family val="2"/>
    </font>
    <font>
      <sz val="10"/>
      <name val="Verdana"/>
      <family val="2"/>
    </font>
    <font>
      <sz val="9"/>
      <name val="Verdana"/>
      <family val="2"/>
    </font>
    <font>
      <sz val="10.5"/>
      <color theme="1"/>
      <name val="Calibri"/>
      <family val="2"/>
    </font>
    <font>
      <b/>
      <u/>
      <sz val="8"/>
      <color rgb="FF0000FF"/>
      <name val="Calibri"/>
      <family val="2"/>
      <scheme val="minor"/>
    </font>
    <font>
      <b/>
      <sz val="8"/>
      <color rgb="FF00B050"/>
      <name val="Calibri"/>
      <family val="2"/>
      <scheme val="minor"/>
    </font>
    <font>
      <b/>
      <u/>
      <sz val="8"/>
      <color rgb="FFFF0000"/>
      <name val="Calibri"/>
      <family val="2"/>
    </font>
    <font>
      <sz val="10"/>
      <color theme="1"/>
      <name val="Calibri"/>
      <family val="2"/>
    </font>
    <font>
      <b/>
      <sz val="16"/>
      <color theme="0"/>
      <name val="Georgia"/>
      <family val="1"/>
    </font>
    <font>
      <sz val="10"/>
      <color theme="0"/>
      <name val="Calibri"/>
      <family val="2"/>
    </font>
    <font>
      <b/>
      <sz val="10"/>
      <color theme="1"/>
      <name val="Calibri"/>
      <family val="2"/>
    </font>
    <font>
      <b/>
      <sz val="11"/>
      <name val="Calibri"/>
      <family val="2"/>
    </font>
    <font>
      <b/>
      <i/>
      <sz val="10"/>
      <name val="Calibri"/>
      <family val="2"/>
    </font>
    <font>
      <sz val="10"/>
      <name val="Calibri"/>
      <family val="2"/>
    </font>
    <font>
      <b/>
      <u/>
      <sz val="10"/>
      <color indexed="18"/>
      <name val="Calibri"/>
      <family val="2"/>
    </font>
    <font>
      <b/>
      <u/>
      <sz val="10"/>
      <name val="Calibri"/>
      <family val="2"/>
    </font>
    <font>
      <b/>
      <sz val="10"/>
      <name val="Calibri"/>
      <family val="2"/>
    </font>
    <font>
      <u/>
      <sz val="10"/>
      <name val="Calibri"/>
      <family val="2"/>
    </font>
    <font>
      <sz val="10"/>
      <color rgb="FF0000FF"/>
      <name val="Calibri"/>
      <family val="2"/>
    </font>
    <font>
      <sz val="10"/>
      <color rgb="FFFF0000"/>
      <name val="Calibri"/>
      <family val="2"/>
    </font>
    <font>
      <sz val="10"/>
      <color rgb="FFFF00FF"/>
      <name val="Calibri"/>
      <family val="2"/>
    </font>
    <font>
      <u/>
      <sz val="11"/>
      <color theme="10"/>
      <name val="Calibri"/>
      <family val="2"/>
    </font>
    <font>
      <sz val="8"/>
      <color rgb="FF0000FF"/>
      <name val="Calibri"/>
      <family val="2"/>
    </font>
    <font>
      <sz val="8"/>
      <name val="Calibri"/>
      <family val="2"/>
    </font>
    <font>
      <b/>
      <sz val="8"/>
      <color rgb="FFFF0000"/>
      <name val="Calibri"/>
      <family val="2"/>
    </font>
    <font>
      <sz val="8"/>
      <color theme="4"/>
      <name val="Calibri"/>
      <family val="2"/>
    </font>
    <font>
      <b/>
      <u/>
      <sz val="11"/>
      <color theme="1"/>
      <name val="Calibri"/>
      <family val="2"/>
      <scheme val="minor"/>
    </font>
    <font>
      <b/>
      <u/>
      <sz val="8"/>
      <name val="Calibri"/>
      <family val="2"/>
      <scheme val="minor"/>
    </font>
    <font>
      <b/>
      <sz val="8"/>
      <color rgb="FF0000FF"/>
      <name val="Calibri"/>
      <family val="2"/>
      <scheme val="minor"/>
    </font>
    <font>
      <sz val="8"/>
      <name val="Calibri"/>
      <family val="2"/>
    </font>
    <font>
      <b/>
      <sz val="8"/>
      <name val="Calibri"/>
      <family val="2"/>
    </font>
    <font>
      <sz val="8"/>
      <color rgb="FF0000FF"/>
      <name val="Calibri"/>
      <family val="2"/>
    </font>
    <font>
      <b/>
      <u/>
      <sz val="8"/>
      <color theme="0"/>
      <name val="Calibri"/>
      <family val="2"/>
    </font>
    <font>
      <sz val="8"/>
      <color rgb="FFFF0000"/>
      <name val="Aptos Narrow"/>
      <family val="2"/>
    </font>
    <font>
      <sz val="8"/>
      <name val="Aptos Narrow"/>
      <family val="2"/>
    </font>
    <font>
      <sz val="9"/>
      <color indexed="81"/>
      <name val="Tahoma"/>
      <family val="2"/>
    </font>
    <font>
      <b/>
      <sz val="9"/>
      <color indexed="81"/>
      <name val="Tahoma"/>
      <family val="2"/>
    </font>
    <font>
      <sz val="10"/>
      <color theme="0"/>
      <name val="Aptos"/>
      <family val="2"/>
    </font>
    <font>
      <sz val="10"/>
      <name val="Aptos"/>
      <family val="2"/>
    </font>
  </fonts>
  <fills count="28">
    <fill>
      <patternFill patternType="none"/>
    </fill>
    <fill>
      <patternFill patternType="gray125"/>
    </fill>
    <fill>
      <patternFill patternType="solid">
        <fgColor theme="7"/>
        <bgColor indexed="64"/>
      </patternFill>
    </fill>
    <fill>
      <patternFill patternType="solid">
        <fgColor theme="3"/>
        <bgColor indexed="64"/>
      </patternFill>
    </fill>
    <fill>
      <patternFill patternType="solid">
        <fgColor theme="6" tint="0.79998168889431442"/>
        <bgColor indexed="64"/>
      </patternFill>
    </fill>
    <fill>
      <patternFill patternType="solid">
        <fgColor rgb="FFEBF5FF"/>
        <bgColor indexed="64"/>
      </patternFill>
    </fill>
    <fill>
      <patternFill patternType="solid">
        <fgColor rgb="FFF8E4E4"/>
        <bgColor indexed="64"/>
      </patternFill>
    </fill>
    <fill>
      <patternFill patternType="solid">
        <fgColor theme="4"/>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indexed="10"/>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2"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2" tint="0.79998168889431442"/>
        <bgColor indexed="64"/>
      </patternFill>
    </fill>
    <fill>
      <patternFill patternType="solid">
        <fgColor rgb="FF0070C0"/>
        <bgColor indexed="64"/>
      </patternFill>
    </fill>
    <fill>
      <patternFill patternType="solid">
        <fgColor rgb="FFFFFFFF"/>
        <bgColor indexed="64"/>
      </patternFill>
    </fill>
  </fills>
  <borders count="3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Dashed">
        <color theme="3"/>
      </left>
      <right/>
      <top style="mediumDashed">
        <color theme="3"/>
      </top>
      <bottom/>
      <diagonal/>
    </border>
    <border>
      <left/>
      <right/>
      <top style="mediumDashed">
        <color theme="3"/>
      </top>
      <bottom/>
      <diagonal/>
    </border>
    <border>
      <left/>
      <right style="mediumDashed">
        <color theme="3"/>
      </right>
      <top style="mediumDashed">
        <color theme="3"/>
      </top>
      <bottom/>
      <diagonal/>
    </border>
    <border>
      <left style="mediumDashed">
        <color theme="3"/>
      </left>
      <right/>
      <top/>
      <bottom/>
      <diagonal/>
    </border>
    <border>
      <left/>
      <right style="mediumDashed">
        <color theme="3"/>
      </right>
      <top/>
      <bottom/>
      <diagonal/>
    </border>
    <border>
      <left style="mediumDashed">
        <color theme="3"/>
      </left>
      <right/>
      <top/>
      <bottom style="mediumDashed">
        <color theme="3"/>
      </bottom>
      <diagonal/>
    </border>
    <border>
      <left/>
      <right/>
      <top/>
      <bottom style="mediumDashed">
        <color theme="3"/>
      </bottom>
      <diagonal/>
    </border>
    <border>
      <left/>
      <right style="mediumDashed">
        <color theme="3"/>
      </right>
      <top/>
      <bottom style="mediumDashed">
        <color theme="3"/>
      </bottom>
      <diagonal/>
    </border>
    <border>
      <left style="mediumDashed">
        <color theme="4"/>
      </left>
      <right/>
      <top style="mediumDashed">
        <color theme="4"/>
      </top>
      <bottom/>
      <diagonal/>
    </border>
    <border>
      <left/>
      <right/>
      <top style="mediumDashed">
        <color theme="4"/>
      </top>
      <bottom/>
      <diagonal/>
    </border>
    <border>
      <left/>
      <right style="mediumDashed">
        <color theme="4"/>
      </right>
      <top style="mediumDashed">
        <color theme="4"/>
      </top>
      <bottom/>
      <diagonal/>
    </border>
    <border>
      <left style="mediumDashed">
        <color theme="4"/>
      </left>
      <right/>
      <top/>
      <bottom/>
      <diagonal/>
    </border>
    <border>
      <left/>
      <right style="mediumDashed">
        <color theme="4"/>
      </right>
      <top/>
      <bottom/>
      <diagonal/>
    </border>
    <border>
      <left style="mediumDashed">
        <color theme="4"/>
      </left>
      <right/>
      <top/>
      <bottom style="mediumDashed">
        <color theme="4"/>
      </bottom>
      <diagonal/>
    </border>
    <border>
      <left/>
      <right/>
      <top/>
      <bottom style="mediumDashed">
        <color theme="4"/>
      </bottom>
      <diagonal/>
    </border>
    <border>
      <left/>
      <right style="mediumDashed">
        <color theme="4"/>
      </right>
      <top/>
      <bottom style="mediumDashed">
        <color theme="4"/>
      </bottom>
      <diagonal/>
    </border>
    <border>
      <left/>
      <right/>
      <top style="thin">
        <color theme="0" tint="-0.14993743705557422"/>
      </top>
      <bottom/>
      <diagonal/>
    </border>
    <border>
      <left/>
      <right/>
      <top style="thin">
        <color theme="0" tint="-0.14993743705557422"/>
      </top>
      <bottom style="thin">
        <color theme="0" tint="-0.149937437055574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right/>
      <top style="thin">
        <color theme="0" tint="-0.14990691854609822"/>
      </top>
      <bottom/>
      <diagonal/>
    </border>
    <border>
      <left/>
      <right/>
      <top style="thin">
        <color auto="1"/>
      </top>
      <bottom/>
      <diagonal/>
    </border>
    <border>
      <left/>
      <right style="thin">
        <color theme="0"/>
      </right>
      <top/>
      <bottom/>
      <diagonal/>
    </border>
    <border>
      <left style="thin">
        <color theme="0"/>
      </left>
      <right/>
      <top/>
      <bottom/>
      <diagonal/>
    </border>
    <border>
      <left style="thin">
        <color auto="1"/>
      </left>
      <right/>
      <top/>
      <bottom/>
      <diagonal/>
    </border>
    <border>
      <left/>
      <right style="thin">
        <color auto="1"/>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style="hair">
        <color auto="1"/>
      </left>
      <right/>
      <top/>
      <bottom/>
      <diagonal/>
    </border>
    <border>
      <left/>
      <right style="hair">
        <color auto="1"/>
      </right>
      <top/>
      <bottom/>
      <diagonal/>
    </border>
    <border>
      <left/>
      <right/>
      <top/>
      <bottom style="hair">
        <color auto="1"/>
      </bottom>
      <diagonal/>
    </border>
    <border>
      <left/>
      <right/>
      <top/>
      <bottom style="medium">
        <color auto="1"/>
      </bottom>
      <diagonal/>
    </border>
    <border>
      <left/>
      <right/>
      <top style="medium">
        <color auto="1"/>
      </top>
      <bottom/>
      <diagonal/>
    </border>
    <border>
      <left/>
      <right/>
      <top/>
      <bottom style="thin">
        <color theme="0" tint="-0.249977111117893"/>
      </bottom>
      <diagonal/>
    </border>
  </borders>
  <cellStyleXfs count="50">
    <xf numFmtId="0" fontId="0" fillId="0" borderId="0"/>
    <xf numFmtId="43" fontId="1" fillId="0" borderId="0"/>
    <xf numFmtId="9" fontId="1" fillId="0" borderId="0"/>
    <xf numFmtId="0" fontId="4" fillId="0" borderId="0"/>
    <xf numFmtId="0" fontId="6" fillId="0" borderId="0"/>
    <xf numFmtId="0" fontId="6" fillId="0" borderId="0"/>
    <xf numFmtId="0" fontId="6" fillId="0" borderId="0"/>
    <xf numFmtId="0" fontId="6" fillId="0" borderId="0"/>
    <xf numFmtId="0" fontId="4" fillId="0" borderId="0"/>
    <xf numFmtId="0" fontId="6" fillId="0" borderId="0"/>
    <xf numFmtId="0" fontId="6" fillId="0" borderId="0"/>
    <xf numFmtId="0" fontId="20" fillId="0" borderId="0">
      <alignment vertical="top"/>
      <protection locked="0"/>
    </xf>
    <xf numFmtId="0" fontId="6" fillId="0" borderId="0"/>
    <xf numFmtId="0" fontId="6" fillId="0" borderId="0"/>
    <xf numFmtId="0" fontId="22" fillId="0" borderId="0"/>
    <xf numFmtId="9" fontId="6" fillId="0" borderId="0"/>
    <xf numFmtId="40" fontId="25" fillId="0" borderId="0"/>
    <xf numFmtId="0" fontId="25" fillId="0" borderId="0"/>
    <xf numFmtId="43" fontId="6" fillId="0" borderId="0"/>
    <xf numFmtId="43" fontId="6" fillId="0" borderId="0"/>
    <xf numFmtId="43" fontId="6" fillId="0" borderId="0"/>
    <xf numFmtId="9" fontId="6" fillId="0" borderId="0"/>
    <xf numFmtId="0" fontId="6" fillId="0" borderId="0"/>
    <xf numFmtId="0" fontId="48" fillId="0" borderId="0"/>
    <xf numFmtId="0" fontId="56" fillId="0" borderId="0">
      <alignment vertical="center"/>
      <protection locked="0"/>
    </xf>
    <xf numFmtId="0" fontId="1" fillId="0" borderId="0"/>
    <xf numFmtId="0" fontId="22" fillId="0" borderId="0">
      <alignment vertical="top"/>
    </xf>
    <xf numFmtId="43" fontId="66" fillId="0" borderId="0"/>
    <xf numFmtId="9" fontId="66" fillId="0" borderId="0"/>
    <xf numFmtId="0" fontId="67" fillId="0" borderId="0"/>
    <xf numFmtId="0" fontId="25" fillId="0" borderId="0"/>
    <xf numFmtId="0" fontId="1" fillId="0" borderId="0"/>
    <xf numFmtId="43" fontId="1" fillId="0" borderId="0"/>
    <xf numFmtId="0" fontId="1" fillId="0" borderId="0"/>
    <xf numFmtId="43" fontId="1" fillId="0" borderId="0"/>
    <xf numFmtId="9" fontId="66" fillId="0" borderId="0"/>
    <xf numFmtId="0" fontId="68" fillId="0" borderId="0"/>
    <xf numFmtId="0" fontId="66" fillId="0" borderId="0"/>
    <xf numFmtId="0" fontId="1" fillId="0" borderId="0"/>
    <xf numFmtId="0" fontId="1" fillId="0" borderId="0"/>
    <xf numFmtId="0" fontId="6" fillId="0" borderId="0"/>
    <xf numFmtId="0" fontId="6" fillId="0" borderId="0"/>
    <xf numFmtId="9" fontId="1" fillId="0" borderId="0"/>
    <xf numFmtId="0" fontId="48" fillId="0" borderId="0"/>
    <xf numFmtId="0" fontId="86" fillId="0" borderId="0"/>
    <xf numFmtId="0" fontId="1" fillId="0" borderId="0"/>
    <xf numFmtId="43" fontId="1" fillId="0" borderId="0"/>
    <xf numFmtId="9" fontId="1" fillId="0" borderId="0"/>
    <xf numFmtId="0" fontId="1" fillId="0" borderId="0"/>
    <xf numFmtId="0" fontId="1" fillId="0" borderId="0"/>
  </cellStyleXfs>
  <cellXfs count="614">
    <xf numFmtId="0" fontId="0" fillId="0" borderId="0" xfId="0"/>
    <xf numFmtId="0" fontId="5" fillId="0" borderId="0" xfId="3" applyFont="1" applyProtection="1">
      <protection locked="0"/>
    </xf>
    <xf numFmtId="3" fontId="5" fillId="0" borderId="0" xfId="3" applyNumberFormat="1" applyFont="1" applyProtection="1">
      <protection locked="0"/>
    </xf>
    <xf numFmtId="0" fontId="7" fillId="0" borderId="0" xfId="4" applyFont="1" applyAlignment="1">
      <alignment horizontal="center"/>
    </xf>
    <xf numFmtId="0" fontId="7" fillId="0" borderId="0" xfId="4" applyFont="1"/>
    <xf numFmtId="0" fontId="8" fillId="0" borderId="0" xfId="5" applyFont="1" applyAlignment="1" applyProtection="1">
      <alignment vertical="center"/>
      <protection locked="0"/>
    </xf>
    <xf numFmtId="37" fontId="9" fillId="0" borderId="0" xfId="5" applyNumberFormat="1" applyFont="1" applyAlignment="1" applyProtection="1">
      <alignment horizontal="right"/>
      <protection locked="0"/>
    </xf>
    <xf numFmtId="0" fontId="9" fillId="0" borderId="0" xfId="5" applyFont="1" applyAlignment="1" applyProtection="1">
      <alignment horizontal="right"/>
      <protection locked="0"/>
    </xf>
    <xf numFmtId="37" fontId="10" fillId="2" borderId="0" xfId="5" applyNumberFormat="1" applyFont="1" applyFill="1" applyAlignment="1" applyProtection="1">
      <alignment horizontal="left"/>
      <protection locked="0"/>
    </xf>
    <xf numFmtId="37" fontId="10" fillId="2" borderId="0" xfId="5" applyNumberFormat="1" applyFont="1" applyFill="1" applyAlignment="1" applyProtection="1">
      <alignment horizontal="center"/>
      <protection locked="0"/>
    </xf>
    <xf numFmtId="0" fontId="11" fillId="3" borderId="0" xfId="6" applyFont="1" applyFill="1" applyAlignment="1" applyProtection="1">
      <alignment vertical="center"/>
      <protection locked="0"/>
    </xf>
    <xf numFmtId="0" fontId="10" fillId="3" borderId="0" xfId="5" applyFont="1" applyFill="1" applyAlignment="1" applyProtection="1">
      <alignment vertical="center"/>
      <protection locked="0"/>
    </xf>
    <xf numFmtId="37" fontId="10" fillId="3" borderId="0" xfId="5" applyNumberFormat="1" applyFont="1" applyFill="1" applyAlignment="1" applyProtection="1">
      <alignment horizontal="right" vertical="center"/>
      <protection locked="0"/>
    </xf>
    <xf numFmtId="0" fontId="10" fillId="2" borderId="0" xfId="4" applyFont="1" applyFill="1" applyAlignment="1">
      <alignment horizontal="center"/>
    </xf>
    <xf numFmtId="0" fontId="12" fillId="0" borderId="0" xfId="3" quotePrefix="1" applyFont="1" applyProtection="1">
      <protection locked="0"/>
    </xf>
    <xf numFmtId="0" fontId="13" fillId="0" borderId="0" xfId="7" applyFont="1" applyProtection="1">
      <protection locked="0"/>
    </xf>
    <xf numFmtId="164" fontId="5" fillId="0" borderId="0" xfId="7" applyNumberFormat="1" applyFont="1" applyAlignment="1" applyProtection="1">
      <alignment horizontal="right"/>
      <protection locked="0"/>
    </xf>
    <xf numFmtId="0" fontId="14" fillId="0" borderId="0" xfId="6" quotePrefix="1" applyFont="1" applyProtection="1">
      <protection locked="0"/>
    </xf>
    <xf numFmtId="165" fontId="5" fillId="0" borderId="0" xfId="7" applyNumberFormat="1" applyFont="1" applyProtection="1">
      <protection locked="0"/>
    </xf>
    <xf numFmtId="0" fontId="15" fillId="4" borderId="0" xfId="8" applyFont="1" applyFill="1" applyAlignment="1" applyProtection="1">
      <alignment horizontal="left"/>
      <protection locked="0"/>
    </xf>
    <xf numFmtId="164" fontId="5" fillId="0" borderId="0" xfId="7" applyNumberFormat="1" applyFont="1" applyProtection="1">
      <protection locked="0"/>
    </xf>
    <xf numFmtId="15" fontId="15" fillId="4" borderId="0" xfId="8" quotePrefix="1" applyNumberFormat="1" applyFont="1" applyFill="1" applyAlignment="1" applyProtection="1">
      <alignment horizontal="left"/>
      <protection locked="0"/>
    </xf>
    <xf numFmtId="0" fontId="5" fillId="0" borderId="0" xfId="7" applyFont="1" applyProtection="1">
      <protection locked="0"/>
    </xf>
    <xf numFmtId="164" fontId="9" fillId="0" borderId="0" xfId="7" applyNumberFormat="1" applyFont="1" applyAlignment="1" applyProtection="1">
      <alignment horizontal="right"/>
      <protection locked="0"/>
    </xf>
    <xf numFmtId="1" fontId="15" fillId="4" borderId="0" xfId="8" quotePrefix="1" applyNumberFormat="1" applyFont="1" applyFill="1" applyAlignment="1" applyProtection="1">
      <alignment horizontal="left"/>
      <protection locked="0"/>
    </xf>
    <xf numFmtId="0" fontId="16" fillId="5" borderId="1" xfId="8" applyFont="1" applyFill="1" applyBorder="1" applyAlignment="1" applyProtection="1">
      <alignment horizontal="left"/>
      <protection locked="0"/>
    </xf>
    <xf numFmtId="0" fontId="14" fillId="0" borderId="0" xfId="3" quotePrefix="1" applyFont="1" applyProtection="1">
      <protection locked="0"/>
    </xf>
    <xf numFmtId="0" fontId="9" fillId="0" borderId="0" xfId="7" applyFont="1" applyAlignment="1" applyProtection="1">
      <alignment horizontal="right"/>
      <protection locked="0"/>
    </xf>
    <xf numFmtId="3" fontId="15" fillId="0" borderId="0" xfId="8" applyNumberFormat="1" applyFont="1" applyAlignment="1" applyProtection="1">
      <alignment horizontal="right"/>
      <protection locked="0"/>
    </xf>
    <xf numFmtId="164" fontId="5" fillId="0" borderId="0" xfId="7" applyNumberFormat="1" applyFont="1" applyAlignment="1" applyProtection="1">
      <alignment vertical="center"/>
      <protection locked="0"/>
    </xf>
    <xf numFmtId="166" fontId="5" fillId="5" borderId="1" xfId="8" applyNumberFormat="1" applyFont="1" applyFill="1" applyBorder="1" applyAlignment="1" applyProtection="1">
      <alignment horizontal="left"/>
      <protection locked="0"/>
    </xf>
    <xf numFmtId="0" fontId="17" fillId="0" borderId="0" xfId="9" applyFont="1"/>
    <xf numFmtId="166" fontId="5" fillId="0" borderId="1" xfId="8" applyNumberFormat="1" applyFont="1" applyBorder="1" applyAlignment="1" applyProtection="1">
      <alignment horizontal="left"/>
      <protection locked="0"/>
    </xf>
    <xf numFmtId="0" fontId="18" fillId="0" borderId="0" xfId="10" applyFont="1" applyAlignment="1">
      <alignment horizontal="center"/>
    </xf>
    <xf numFmtId="167" fontId="5" fillId="0" borderId="0" xfId="3" applyNumberFormat="1" applyFont="1" applyAlignment="1" applyProtection="1">
      <alignment horizontal="right"/>
      <protection locked="0"/>
    </xf>
    <xf numFmtId="0" fontId="9" fillId="0" borderId="0" xfId="7" applyFont="1" applyAlignment="1" applyProtection="1">
      <alignment horizontal="center"/>
      <protection locked="0"/>
    </xf>
    <xf numFmtId="164" fontId="19" fillId="0" borderId="0" xfId="7" applyNumberFormat="1" applyFont="1" applyProtection="1">
      <protection locked="0"/>
    </xf>
    <xf numFmtId="2" fontId="5" fillId="5" borderId="1" xfId="8" applyNumberFormat="1" applyFont="1" applyFill="1" applyBorder="1" applyAlignment="1" applyProtection="1">
      <alignment horizontal="left"/>
      <protection locked="0"/>
    </xf>
    <xf numFmtId="43" fontId="5" fillId="0" borderId="0" xfId="1" applyFont="1" applyAlignment="1" applyProtection="1">
      <alignment horizontal="right"/>
      <protection locked="0"/>
    </xf>
    <xf numFmtId="14" fontId="5" fillId="0" borderId="0" xfId="3" applyNumberFormat="1" applyFont="1" applyAlignment="1" applyProtection="1">
      <alignment horizontal="right"/>
      <protection locked="0"/>
    </xf>
    <xf numFmtId="167" fontId="5" fillId="0" borderId="0" xfId="3" applyNumberFormat="1" applyFont="1" applyAlignment="1" applyProtection="1">
      <alignment horizontal="left"/>
      <protection locked="0"/>
    </xf>
    <xf numFmtId="4" fontId="5" fillId="0" borderId="0" xfId="3" applyNumberFormat="1" applyFont="1" applyAlignment="1" applyProtection="1">
      <alignment horizontal="left"/>
      <protection locked="0"/>
    </xf>
    <xf numFmtId="0" fontId="5" fillId="0" borderId="0" xfId="7" applyFont="1" applyAlignment="1" applyProtection="1">
      <alignment horizontal="left"/>
      <protection locked="0"/>
    </xf>
    <xf numFmtId="4" fontId="5" fillId="0" borderId="0" xfId="7" applyNumberFormat="1" applyFont="1" applyProtection="1">
      <protection locked="0"/>
    </xf>
    <xf numFmtId="4" fontId="5" fillId="0" borderId="0" xfId="3" applyNumberFormat="1" applyFont="1" applyAlignment="1" applyProtection="1">
      <alignment horizontal="right"/>
      <protection locked="0"/>
    </xf>
    <xf numFmtId="168" fontId="5" fillId="0" borderId="0" xfId="3" applyNumberFormat="1" applyFont="1" applyAlignment="1" applyProtection="1">
      <alignment horizontal="left" wrapText="1"/>
      <protection locked="0"/>
    </xf>
    <xf numFmtId="0" fontId="15" fillId="0" borderId="0" xfId="8" applyFont="1" applyAlignment="1" applyProtection="1">
      <alignment horizontal="left"/>
      <protection locked="0"/>
    </xf>
    <xf numFmtId="4" fontId="16" fillId="5" borderId="1" xfId="8" applyNumberFormat="1" applyFont="1" applyFill="1" applyBorder="1" applyAlignment="1" applyProtection="1">
      <alignment horizontal="left"/>
      <protection locked="0"/>
    </xf>
    <xf numFmtId="0" fontId="14" fillId="0" borderId="0" xfId="3" quotePrefix="1" applyFont="1" applyAlignment="1" applyProtection="1">
      <alignment vertical="center"/>
      <protection locked="0"/>
    </xf>
    <xf numFmtId="0" fontId="5" fillId="0" borderId="0" xfId="7" applyFont="1" applyAlignment="1" applyProtection="1">
      <alignment vertical="center"/>
      <protection locked="0"/>
    </xf>
    <xf numFmtId="0" fontId="5" fillId="0" borderId="0" xfId="4" applyFont="1" applyAlignment="1">
      <alignment vertical="center"/>
    </xf>
    <xf numFmtId="0" fontId="17" fillId="0" borderId="0" xfId="9" applyFont="1" applyAlignment="1">
      <alignment horizontal="left" vertical="center" wrapText="1" indent="1"/>
    </xf>
    <xf numFmtId="0" fontId="18" fillId="0" borderId="0" xfId="10" applyFont="1" applyAlignment="1">
      <alignment horizontal="center" vertical="center"/>
    </xf>
    <xf numFmtId="0" fontId="18" fillId="0" borderId="0" xfId="10" applyFont="1" applyAlignment="1">
      <alignment horizontal="center" vertical="center" wrapText="1"/>
    </xf>
    <xf numFmtId="0" fontId="15" fillId="6" borderId="0" xfId="8" applyFont="1" applyFill="1" applyAlignment="1" applyProtection="1">
      <alignment vertical="center" wrapText="1"/>
      <protection locked="0"/>
    </xf>
    <xf numFmtId="0" fontId="15" fillId="6" borderId="0" xfId="8" applyFont="1" applyFill="1" applyAlignment="1" applyProtection="1">
      <alignment vertical="center"/>
      <protection locked="0"/>
    </xf>
    <xf numFmtId="164" fontId="9" fillId="0" borderId="0" xfId="7" applyNumberFormat="1" applyFont="1" applyAlignment="1" applyProtection="1">
      <alignment vertical="center"/>
      <protection locked="0"/>
    </xf>
    <xf numFmtId="4" fontId="15" fillId="6" borderId="0" xfId="8" applyNumberFormat="1" applyFont="1" applyFill="1" applyProtection="1">
      <protection locked="0"/>
    </xf>
    <xf numFmtId="164" fontId="19" fillId="0" borderId="0" xfId="7" applyNumberFormat="1" applyFont="1" applyAlignment="1" applyProtection="1">
      <alignment vertical="center"/>
      <protection locked="0"/>
    </xf>
    <xf numFmtId="0" fontId="5" fillId="6" borderId="0" xfId="3" applyFont="1" applyFill="1" applyAlignment="1" applyProtection="1">
      <alignment horizontal="left"/>
      <protection locked="0"/>
    </xf>
    <xf numFmtId="0" fontId="15" fillId="0" borderId="0" xfId="8" applyFont="1" applyAlignment="1" applyProtection="1">
      <alignment horizontal="right"/>
      <protection locked="0"/>
    </xf>
    <xf numFmtId="0" fontId="21" fillId="0" borderId="0" xfId="11" applyFont="1" applyAlignment="1">
      <protection locked="0"/>
    </xf>
    <xf numFmtId="0" fontId="2" fillId="7" borderId="0" xfId="5" applyFont="1" applyFill="1" applyAlignment="1" applyProtection="1">
      <alignment vertical="center"/>
      <protection locked="0"/>
    </xf>
    <xf numFmtId="0" fontId="10" fillId="7" borderId="0" xfId="5" applyFont="1" applyFill="1" applyAlignment="1" applyProtection="1">
      <alignment horizontal="right"/>
      <protection locked="0"/>
    </xf>
    <xf numFmtId="0" fontId="5" fillId="0" borderId="0" xfId="6" applyFont="1" applyProtection="1">
      <protection locked="0"/>
    </xf>
    <xf numFmtId="0" fontId="9" fillId="0" borderId="0" xfId="12" applyFont="1" applyAlignment="1" applyProtection="1">
      <alignment vertical="center"/>
      <protection locked="0"/>
    </xf>
    <xf numFmtId="37" fontId="9" fillId="0" borderId="0" xfId="12" applyNumberFormat="1" applyFont="1" applyAlignment="1" applyProtection="1">
      <alignment horizontal="right"/>
      <protection locked="0"/>
    </xf>
    <xf numFmtId="0" fontId="9" fillId="0" borderId="0" xfId="5" applyFont="1" applyProtection="1">
      <protection locked="0"/>
    </xf>
    <xf numFmtId="164" fontId="5" fillId="8" borderId="0" xfId="13" applyNumberFormat="1" applyFont="1" applyFill="1" applyAlignment="1" applyProtection="1">
      <alignment horizontal="left"/>
      <protection locked="0"/>
    </xf>
    <xf numFmtId="0" fontId="5" fillId="8" borderId="0" xfId="14" applyFont="1" applyFill="1" applyAlignment="1" applyProtection="1">
      <alignment horizontal="right"/>
      <protection locked="0"/>
    </xf>
    <xf numFmtId="164" fontId="5" fillId="6" borderId="0" xfId="13" applyNumberFormat="1" applyFont="1" applyFill="1" applyAlignment="1" applyProtection="1">
      <alignment horizontal="left"/>
      <protection locked="0"/>
    </xf>
    <xf numFmtId="0" fontId="5" fillId="6" borderId="0" xfId="14" applyFont="1" applyFill="1" applyAlignment="1" applyProtection="1">
      <alignment horizontal="right"/>
      <protection locked="0"/>
    </xf>
    <xf numFmtId="37" fontId="10" fillId="7" borderId="0" xfId="5" applyNumberFormat="1" applyFont="1" applyFill="1" applyAlignment="1" applyProtection="1">
      <alignment horizontal="right"/>
      <protection locked="0"/>
    </xf>
    <xf numFmtId="0" fontId="23" fillId="0" borderId="0" xfId="5" applyFont="1" applyAlignment="1" applyProtection="1">
      <alignment vertical="center"/>
      <protection locked="0"/>
    </xf>
    <xf numFmtId="37" fontId="10" fillId="0" borderId="0" xfId="5" applyNumberFormat="1" applyFont="1" applyAlignment="1" applyProtection="1">
      <alignment horizontal="right"/>
      <protection locked="0"/>
    </xf>
    <xf numFmtId="0" fontId="10" fillId="0" borderId="0" xfId="5" applyFont="1" applyAlignment="1" applyProtection="1">
      <alignment horizontal="right"/>
      <protection locked="0"/>
    </xf>
    <xf numFmtId="164" fontId="5" fillId="0" borderId="0" xfId="13" applyNumberFormat="1" applyFont="1" applyAlignment="1" applyProtection="1">
      <alignment horizontal="left" indent="1"/>
      <protection locked="0"/>
    </xf>
    <xf numFmtId="167" fontId="5" fillId="0" borderId="0" xfId="15" applyNumberFormat="1" applyFont="1" applyAlignment="1" applyProtection="1">
      <alignment horizontal="right"/>
      <protection locked="0"/>
    </xf>
    <xf numFmtId="169" fontId="5" fillId="9" borderId="2" xfId="14" applyNumberFormat="1" applyFont="1" applyFill="1" applyBorder="1" applyAlignment="1" applyProtection="1">
      <alignment horizontal="right"/>
      <protection locked="0"/>
    </xf>
    <xf numFmtId="169" fontId="5" fillId="9" borderId="3" xfId="14" applyNumberFormat="1" applyFont="1" applyFill="1" applyBorder="1" applyAlignment="1" applyProtection="1">
      <alignment horizontal="right"/>
      <protection locked="0"/>
    </xf>
    <xf numFmtId="169" fontId="5" fillId="9" borderId="4" xfId="14" applyNumberFormat="1" applyFont="1" applyFill="1" applyBorder="1" applyAlignment="1" applyProtection="1">
      <alignment horizontal="right"/>
      <protection locked="0"/>
    </xf>
    <xf numFmtId="0" fontId="17" fillId="0" borderId="0" xfId="10" applyFont="1"/>
    <xf numFmtId="0" fontId="18" fillId="0" borderId="0" xfId="9" applyFont="1" applyAlignment="1">
      <alignment horizontal="center"/>
    </xf>
    <xf numFmtId="169" fontId="5" fillId="9" borderId="5" xfId="14" applyNumberFormat="1" applyFont="1" applyFill="1" applyBorder="1" applyAlignment="1" applyProtection="1">
      <alignment horizontal="right"/>
      <protection locked="0"/>
    </xf>
    <xf numFmtId="169" fontId="5" fillId="9" borderId="0" xfId="14" applyNumberFormat="1" applyFont="1" applyFill="1" applyAlignment="1" applyProtection="1">
      <alignment horizontal="right"/>
      <protection locked="0"/>
    </xf>
    <xf numFmtId="169" fontId="5" fillId="9" borderId="6" xfId="14" applyNumberFormat="1" applyFont="1" applyFill="1" applyBorder="1" applyAlignment="1" applyProtection="1">
      <alignment horizontal="right"/>
      <protection locked="0"/>
    </xf>
    <xf numFmtId="43" fontId="5" fillId="9" borderId="5" xfId="14" applyNumberFormat="1" applyFont="1" applyFill="1" applyBorder="1" applyAlignment="1" applyProtection="1">
      <alignment horizontal="right"/>
      <protection locked="0"/>
    </xf>
    <xf numFmtId="43" fontId="5" fillId="9" borderId="0" xfId="14" applyNumberFormat="1" applyFont="1" applyFill="1" applyAlignment="1" applyProtection="1">
      <alignment horizontal="right"/>
      <protection locked="0"/>
    </xf>
    <xf numFmtId="43" fontId="5" fillId="9" borderId="6" xfId="14" applyNumberFormat="1" applyFont="1" applyFill="1" applyBorder="1" applyAlignment="1" applyProtection="1">
      <alignment horizontal="right"/>
      <protection locked="0"/>
    </xf>
    <xf numFmtId="43" fontId="5" fillId="9" borderId="7" xfId="14" applyNumberFormat="1" applyFont="1" applyFill="1" applyBorder="1" applyAlignment="1" applyProtection="1">
      <alignment horizontal="right"/>
      <protection locked="0"/>
    </xf>
    <xf numFmtId="43" fontId="5" fillId="9" borderId="8" xfId="14" applyNumberFormat="1" applyFont="1" applyFill="1" applyBorder="1" applyAlignment="1" applyProtection="1">
      <alignment horizontal="right"/>
      <protection locked="0"/>
    </xf>
    <xf numFmtId="43" fontId="5" fillId="9" borderId="9" xfId="14" applyNumberFormat="1" applyFont="1" applyFill="1" applyBorder="1" applyAlignment="1" applyProtection="1">
      <alignment horizontal="right"/>
      <protection locked="0"/>
    </xf>
    <xf numFmtId="0" fontId="5" fillId="0" borderId="0" xfId="14" applyFont="1" applyAlignment="1" applyProtection="1">
      <alignment horizontal="right"/>
      <protection locked="0"/>
    </xf>
    <xf numFmtId="0" fontId="18" fillId="0" borderId="0" xfId="10" applyFont="1"/>
    <xf numFmtId="169" fontId="16" fillId="10" borderId="10" xfId="14" applyNumberFormat="1" applyFont="1" applyFill="1" applyBorder="1" applyAlignment="1" applyProtection="1">
      <alignment horizontal="right"/>
      <protection locked="0"/>
    </xf>
    <xf numFmtId="169" fontId="16" fillId="10" borderId="11" xfId="14" applyNumberFormat="1" applyFont="1" applyFill="1" applyBorder="1" applyAlignment="1" applyProtection="1">
      <alignment horizontal="right"/>
      <protection locked="0"/>
    </xf>
    <xf numFmtId="169" fontId="16" fillId="10" borderId="12" xfId="14" applyNumberFormat="1" applyFont="1" applyFill="1" applyBorder="1" applyAlignment="1" applyProtection="1">
      <alignment horizontal="right"/>
      <protection locked="0"/>
    </xf>
    <xf numFmtId="169" fontId="16" fillId="10" borderId="13" xfId="14" applyNumberFormat="1" applyFont="1" applyFill="1" applyBorder="1" applyAlignment="1" applyProtection="1">
      <alignment horizontal="right"/>
      <protection locked="0"/>
    </xf>
    <xf numFmtId="169" fontId="16" fillId="10" borderId="0" xfId="14" applyNumberFormat="1" applyFont="1" applyFill="1" applyAlignment="1" applyProtection="1">
      <alignment horizontal="right"/>
      <protection locked="0"/>
    </xf>
    <xf numFmtId="169" fontId="16" fillId="10" borderId="14" xfId="14" applyNumberFormat="1" applyFont="1" applyFill="1" applyBorder="1" applyAlignment="1" applyProtection="1">
      <alignment horizontal="right"/>
      <protection locked="0"/>
    </xf>
    <xf numFmtId="43" fontId="16" fillId="10" borderId="13" xfId="14" applyNumberFormat="1" applyFont="1" applyFill="1" applyBorder="1" applyAlignment="1" applyProtection="1">
      <alignment horizontal="right"/>
      <protection locked="0"/>
    </xf>
    <xf numFmtId="43" fontId="16" fillId="10" borderId="0" xfId="14" applyNumberFormat="1" applyFont="1" applyFill="1" applyAlignment="1" applyProtection="1">
      <alignment horizontal="right"/>
      <protection locked="0"/>
    </xf>
    <xf numFmtId="43" fontId="16" fillId="10" borderId="14" xfId="14" applyNumberFormat="1" applyFont="1" applyFill="1" applyBorder="1" applyAlignment="1" applyProtection="1">
      <alignment horizontal="right"/>
      <protection locked="0"/>
    </xf>
    <xf numFmtId="43" fontId="16" fillId="10" borderId="15" xfId="14" applyNumberFormat="1" applyFont="1" applyFill="1" applyBorder="1" applyAlignment="1" applyProtection="1">
      <alignment horizontal="right"/>
      <protection locked="0"/>
    </xf>
    <xf numFmtId="43" fontId="16" fillId="10" borderId="16" xfId="14" applyNumberFormat="1" applyFont="1" applyFill="1" applyBorder="1" applyAlignment="1" applyProtection="1">
      <alignment horizontal="right"/>
      <protection locked="0"/>
    </xf>
    <xf numFmtId="43" fontId="16" fillId="10" borderId="17" xfId="14" applyNumberFormat="1" applyFont="1" applyFill="1" applyBorder="1" applyAlignment="1" applyProtection="1">
      <alignment horizontal="right"/>
      <protection locked="0"/>
    </xf>
    <xf numFmtId="0" fontId="14" fillId="0" borderId="0" xfId="5" applyFont="1" applyAlignment="1" applyProtection="1">
      <alignment vertical="center"/>
      <protection locked="0"/>
    </xf>
    <xf numFmtId="0" fontId="24" fillId="11" borderId="0" xfId="5" applyFont="1" applyFill="1" applyAlignment="1" applyProtection="1">
      <alignment vertical="center"/>
      <protection locked="0"/>
    </xf>
    <xf numFmtId="0" fontId="9" fillId="11" borderId="0" xfId="5" applyFont="1" applyFill="1" applyAlignment="1" applyProtection="1">
      <alignment horizontal="right"/>
      <protection locked="0"/>
    </xf>
    <xf numFmtId="164" fontId="14" fillId="0" borderId="0" xfId="16" quotePrefix="1" applyNumberFormat="1" applyFont="1" applyProtection="1">
      <protection locked="0"/>
    </xf>
    <xf numFmtId="164" fontId="5" fillId="6" borderId="0" xfId="17" applyNumberFormat="1" applyFont="1" applyFill="1" applyAlignment="1" applyProtection="1">
      <alignment horizontal="left" indent="1"/>
      <protection locked="0"/>
    </xf>
    <xf numFmtId="169" fontId="5" fillId="6" borderId="0" xfId="18" applyNumberFormat="1" applyFont="1" applyFill="1" applyProtection="1">
      <protection locked="0"/>
    </xf>
    <xf numFmtId="0" fontId="9" fillId="0" borderId="0" xfId="3" applyFont="1" applyProtection="1">
      <protection locked="0"/>
    </xf>
    <xf numFmtId="164" fontId="9" fillId="0" borderId="18" xfId="16" applyNumberFormat="1" applyFont="1" applyBorder="1" applyProtection="1">
      <protection locked="0"/>
    </xf>
    <xf numFmtId="169" fontId="9" fillId="0" borderId="18" xfId="19" applyNumberFormat="1" applyFont="1" applyBorder="1" applyAlignment="1" applyProtection="1">
      <alignment horizontal="right"/>
      <protection locked="0"/>
    </xf>
    <xf numFmtId="164" fontId="14" fillId="0" borderId="0" xfId="13" quotePrefix="1" applyNumberFormat="1" applyFont="1" applyProtection="1">
      <protection locked="0"/>
    </xf>
    <xf numFmtId="164" fontId="9" fillId="0" borderId="19" xfId="16" quotePrefix="1" applyNumberFormat="1" applyFont="1" applyBorder="1" applyAlignment="1" applyProtection="1">
      <alignment horizontal="left"/>
      <protection locked="0"/>
    </xf>
    <xf numFmtId="169" fontId="9" fillId="0" borderId="19" xfId="19" applyNumberFormat="1" applyFont="1" applyBorder="1" applyAlignment="1" applyProtection="1">
      <alignment horizontal="right"/>
      <protection locked="0"/>
    </xf>
    <xf numFmtId="164" fontId="9" fillId="0" borderId="0" xfId="16" applyNumberFormat="1" applyFont="1" applyProtection="1">
      <protection locked="0"/>
    </xf>
    <xf numFmtId="169" fontId="9" fillId="0" borderId="0" xfId="19" applyNumberFormat="1" applyFont="1" applyAlignment="1" applyProtection="1">
      <alignment horizontal="right"/>
      <protection locked="0"/>
    </xf>
    <xf numFmtId="164" fontId="9" fillId="0" borderId="0" xfId="16" quotePrefix="1" applyNumberFormat="1" applyFont="1" applyAlignment="1" applyProtection="1">
      <alignment horizontal="left"/>
      <protection locked="0"/>
    </xf>
    <xf numFmtId="0" fontId="26" fillId="0" borderId="0" xfId="13" applyFont="1" applyAlignment="1" applyProtection="1">
      <alignment horizontal="left"/>
      <protection locked="0"/>
    </xf>
    <xf numFmtId="169" fontId="26" fillId="0" borderId="18" xfId="19" applyNumberFormat="1" applyFont="1" applyBorder="1" applyAlignment="1" applyProtection="1">
      <alignment horizontal="right"/>
      <protection locked="0"/>
    </xf>
    <xf numFmtId="164" fontId="5" fillId="0" borderId="0" xfId="13" applyNumberFormat="1" applyFont="1" applyAlignment="1" applyProtection="1">
      <alignment horizontal="left"/>
      <protection locked="0"/>
    </xf>
    <xf numFmtId="170" fontId="27" fillId="0" borderId="0" xfId="19" applyNumberFormat="1" applyFont="1" applyAlignment="1" applyProtection="1">
      <alignment horizontal="right"/>
      <protection locked="0"/>
    </xf>
    <xf numFmtId="41" fontId="27" fillId="0" borderId="0" xfId="19" applyNumberFormat="1" applyFont="1" applyAlignment="1" applyProtection="1">
      <alignment horizontal="right"/>
      <protection locked="0"/>
    </xf>
    <xf numFmtId="0" fontId="9" fillId="4" borderId="0" xfId="5" applyFont="1" applyFill="1" applyAlignment="1" applyProtection="1">
      <alignment vertical="center"/>
      <protection locked="0"/>
    </xf>
    <xf numFmtId="0" fontId="9" fillId="4" borderId="0" xfId="5" applyFont="1" applyFill="1" applyAlignment="1" applyProtection="1">
      <alignment horizontal="right"/>
      <protection locked="0"/>
    </xf>
    <xf numFmtId="164" fontId="9" fillId="0" borderId="18" xfId="17" applyNumberFormat="1" applyFont="1" applyBorder="1" applyProtection="1">
      <protection locked="0"/>
    </xf>
    <xf numFmtId="164" fontId="9" fillId="0" borderId="19" xfId="17" applyNumberFormat="1" applyFont="1" applyBorder="1" applyProtection="1">
      <protection locked="0"/>
    </xf>
    <xf numFmtId="164" fontId="9" fillId="0" borderId="0" xfId="17" applyNumberFormat="1" applyFont="1" applyProtection="1">
      <protection locked="0"/>
    </xf>
    <xf numFmtId="171" fontId="9" fillId="0" borderId="0" xfId="19" applyNumberFormat="1" applyFont="1" applyAlignment="1" applyProtection="1">
      <alignment horizontal="right"/>
      <protection locked="0"/>
    </xf>
    <xf numFmtId="2" fontId="5" fillId="6" borderId="0" xfId="18" applyNumberFormat="1" applyFont="1" applyFill="1" applyProtection="1">
      <protection locked="0"/>
    </xf>
    <xf numFmtId="164" fontId="9" fillId="0" borderId="20" xfId="17" applyNumberFormat="1" applyFont="1" applyBorder="1" applyProtection="1">
      <protection locked="0"/>
    </xf>
    <xf numFmtId="164" fontId="9" fillId="0" borderId="21" xfId="17" applyNumberFormat="1" applyFont="1" applyBorder="1" applyProtection="1">
      <protection locked="0"/>
    </xf>
    <xf numFmtId="164" fontId="9" fillId="0" borderId="22" xfId="17" applyNumberFormat="1" applyFont="1" applyBorder="1" applyProtection="1">
      <protection locked="0"/>
    </xf>
    <xf numFmtId="169" fontId="26" fillId="0" borderId="0" xfId="19" applyNumberFormat="1" applyFont="1" applyAlignment="1" applyProtection="1">
      <alignment horizontal="right"/>
      <protection locked="0"/>
    </xf>
    <xf numFmtId="172" fontId="26" fillId="0" borderId="0" xfId="19" applyNumberFormat="1" applyFont="1" applyAlignment="1" applyProtection="1">
      <alignment horizontal="right"/>
      <protection locked="0"/>
    </xf>
    <xf numFmtId="164" fontId="19" fillId="0" borderId="0" xfId="17" applyNumberFormat="1" applyFont="1" applyProtection="1">
      <protection locked="0"/>
    </xf>
    <xf numFmtId="37" fontId="9" fillId="0" borderId="0" xfId="19" applyNumberFormat="1" applyFont="1" applyAlignment="1" applyProtection="1">
      <alignment horizontal="right"/>
      <protection locked="0"/>
    </xf>
    <xf numFmtId="0" fontId="28" fillId="0" borderId="0" xfId="3" quotePrefix="1" applyFont="1" applyProtection="1">
      <protection locked="0"/>
    </xf>
    <xf numFmtId="0" fontId="29" fillId="0" borderId="0" xfId="3" applyFont="1" applyProtection="1">
      <protection locked="0"/>
    </xf>
    <xf numFmtId="0" fontId="30" fillId="0" borderId="0" xfId="4" applyFont="1"/>
    <xf numFmtId="164" fontId="5" fillId="0" borderId="0" xfId="13" applyNumberFormat="1" applyFont="1" applyProtection="1">
      <protection locked="0"/>
    </xf>
    <xf numFmtId="165" fontId="5" fillId="0" borderId="0" xfId="13" applyNumberFormat="1" applyFont="1" applyProtection="1">
      <protection locked="0"/>
    </xf>
    <xf numFmtId="169" fontId="9" fillId="0" borderId="0" xfId="18" applyNumberFormat="1" applyFont="1" applyProtection="1">
      <protection locked="0"/>
    </xf>
    <xf numFmtId="164" fontId="5" fillId="0" borderId="0" xfId="17" applyNumberFormat="1" applyFont="1" applyProtection="1">
      <protection locked="0"/>
    </xf>
    <xf numFmtId="169" fontId="5" fillId="0" borderId="0" xfId="18" applyNumberFormat="1" applyFont="1" applyProtection="1">
      <protection locked="0"/>
    </xf>
    <xf numFmtId="0" fontId="14" fillId="0" borderId="0" xfId="3" applyFont="1" applyProtection="1">
      <protection locked="0"/>
    </xf>
    <xf numFmtId="164" fontId="9" fillId="0" borderId="0" xfId="13" applyNumberFormat="1" applyFont="1" applyProtection="1">
      <protection locked="0"/>
    </xf>
    <xf numFmtId="41" fontId="5" fillId="0" borderId="0" xfId="19" applyNumberFormat="1" applyFont="1" applyAlignment="1" applyProtection="1">
      <alignment horizontal="right"/>
      <protection locked="0"/>
    </xf>
    <xf numFmtId="0" fontId="9" fillId="0" borderId="0" xfId="5" applyFont="1" applyAlignment="1" applyProtection="1">
      <alignment vertical="center"/>
      <protection locked="0"/>
    </xf>
    <xf numFmtId="164" fontId="5" fillId="6" borderId="0" xfId="13" applyNumberFormat="1" applyFont="1" applyFill="1" applyAlignment="1" applyProtection="1">
      <alignment horizontal="left" indent="1"/>
      <protection locked="0"/>
    </xf>
    <xf numFmtId="3" fontId="5" fillId="6" borderId="0" xfId="8" applyNumberFormat="1" applyFont="1" applyFill="1" applyAlignment="1" applyProtection="1">
      <alignment horizontal="left" indent="1"/>
      <protection locked="0"/>
    </xf>
    <xf numFmtId="0" fontId="5" fillId="6" borderId="0" xfId="18" applyNumberFormat="1" applyFont="1" applyFill="1" applyProtection="1">
      <protection locked="0"/>
    </xf>
    <xf numFmtId="173" fontId="5" fillId="6" borderId="0" xfId="18" applyNumberFormat="1" applyFont="1" applyFill="1" applyProtection="1">
      <protection locked="0"/>
    </xf>
    <xf numFmtId="3" fontId="5" fillId="0" borderId="0" xfId="8" applyNumberFormat="1" applyFont="1" applyProtection="1">
      <protection locked="0"/>
    </xf>
    <xf numFmtId="164" fontId="19" fillId="0" borderId="0" xfId="16" applyNumberFormat="1" applyFont="1" applyAlignment="1" applyProtection="1">
      <alignment horizontal="left"/>
      <protection locked="0"/>
    </xf>
    <xf numFmtId="164" fontId="5" fillId="6" borderId="0" xfId="16" quotePrefix="1" applyNumberFormat="1" applyFont="1" applyFill="1" applyAlignment="1" applyProtection="1">
      <alignment horizontal="left" vertical="center" indent="1"/>
      <protection locked="0"/>
    </xf>
    <xf numFmtId="164" fontId="5" fillId="6" borderId="0" xfId="16" applyNumberFormat="1" applyFont="1" applyFill="1" applyAlignment="1" applyProtection="1">
      <alignment horizontal="left" indent="1"/>
      <protection locked="0"/>
    </xf>
    <xf numFmtId="164" fontId="5" fillId="0" borderId="18" xfId="16" applyNumberFormat="1" applyFont="1" applyBorder="1" applyAlignment="1" applyProtection="1">
      <alignment horizontal="left"/>
      <protection locked="0"/>
    </xf>
    <xf numFmtId="169" fontId="5" fillId="0" borderId="18" xfId="19" applyNumberFormat="1" applyFont="1" applyBorder="1" applyAlignment="1" applyProtection="1">
      <alignment horizontal="right"/>
      <protection locked="0"/>
    </xf>
    <xf numFmtId="164" fontId="5" fillId="0" borderId="0" xfId="16" applyNumberFormat="1" applyFont="1" applyAlignment="1" applyProtection="1">
      <alignment horizontal="left"/>
      <protection locked="0"/>
    </xf>
    <xf numFmtId="164" fontId="5" fillId="6" borderId="0" xfId="16" applyNumberFormat="1" applyFont="1" applyFill="1" applyAlignment="1" applyProtection="1">
      <alignment horizontal="left"/>
      <protection locked="0"/>
    </xf>
    <xf numFmtId="164" fontId="9" fillId="0" borderId="0" xfId="16" applyNumberFormat="1" applyFont="1" applyAlignment="1" applyProtection="1">
      <alignment horizontal="left"/>
      <protection locked="0"/>
    </xf>
    <xf numFmtId="0" fontId="5" fillId="6" borderId="0" xfId="13" applyFont="1" applyFill="1" applyProtection="1">
      <protection locked="0"/>
    </xf>
    <xf numFmtId="169" fontId="5" fillId="0" borderId="0" xfId="20" applyNumberFormat="1" applyFont="1" applyAlignment="1" applyProtection="1">
      <alignment horizontal="right"/>
      <protection locked="0"/>
    </xf>
    <xf numFmtId="164" fontId="5" fillId="6" borderId="0" xfId="16" applyNumberFormat="1" applyFont="1" applyFill="1" applyProtection="1">
      <protection locked="0"/>
    </xf>
    <xf numFmtId="173" fontId="5" fillId="0" borderId="0" xfId="20" applyNumberFormat="1" applyFont="1" applyProtection="1">
      <protection locked="0"/>
    </xf>
    <xf numFmtId="0" fontId="5" fillId="0" borderId="0" xfId="13" applyFont="1" applyProtection="1">
      <protection locked="0"/>
    </xf>
    <xf numFmtId="37" fontId="5" fillId="0" borderId="0" xfId="18" applyNumberFormat="1" applyFont="1" applyProtection="1">
      <protection locked="0"/>
    </xf>
    <xf numFmtId="37" fontId="9" fillId="11" borderId="0" xfId="5" applyNumberFormat="1" applyFont="1" applyFill="1" applyAlignment="1" applyProtection="1">
      <alignment horizontal="right"/>
      <protection locked="0"/>
    </xf>
    <xf numFmtId="0" fontId="5" fillId="6" borderId="0" xfId="8" applyFont="1" applyFill="1" applyProtection="1">
      <protection locked="0"/>
    </xf>
    <xf numFmtId="43" fontId="5" fillId="6" borderId="0" xfId="20" applyFont="1" applyFill="1" applyAlignment="1" applyProtection="1">
      <alignment horizontal="right"/>
      <protection locked="0"/>
    </xf>
    <xf numFmtId="43" fontId="5" fillId="6" borderId="0" xfId="18" applyFont="1" applyFill="1" applyProtection="1">
      <protection locked="0"/>
    </xf>
    <xf numFmtId="169" fontId="5" fillId="0" borderId="0" xfId="20" applyNumberFormat="1" applyFont="1" applyProtection="1">
      <protection locked="0"/>
    </xf>
    <xf numFmtId="2" fontId="5" fillId="6" borderId="0" xfId="20" applyNumberFormat="1" applyFont="1" applyFill="1" applyAlignment="1" applyProtection="1">
      <alignment horizontal="right"/>
      <protection locked="0"/>
    </xf>
    <xf numFmtId="167" fontId="5" fillId="6" borderId="0" xfId="15" applyNumberFormat="1" applyFont="1" applyFill="1" applyAlignment="1" applyProtection="1">
      <alignment horizontal="right"/>
      <protection locked="0"/>
    </xf>
    <xf numFmtId="169" fontId="5" fillId="6" borderId="0" xfId="20" applyNumberFormat="1" applyFont="1" applyFill="1" applyAlignment="1" applyProtection="1">
      <alignment horizontal="right"/>
      <protection locked="0"/>
    </xf>
    <xf numFmtId="43" fontId="5" fillId="6" borderId="0" xfId="20" applyFont="1" applyFill="1" applyProtection="1">
      <protection locked="0"/>
    </xf>
    <xf numFmtId="167" fontId="5" fillId="6" borderId="0" xfId="15" applyNumberFormat="1" applyFont="1" applyFill="1" applyProtection="1">
      <protection locked="0"/>
    </xf>
    <xf numFmtId="167" fontId="5" fillId="6" borderId="0" xfId="21" applyNumberFormat="1" applyFont="1" applyFill="1" applyAlignment="1" applyProtection="1">
      <alignment horizontal="right"/>
      <protection locked="0"/>
    </xf>
    <xf numFmtId="164" fontId="5" fillId="0" borderId="0" xfId="16" applyNumberFormat="1" applyFont="1" applyProtection="1">
      <protection locked="0"/>
    </xf>
    <xf numFmtId="167" fontId="5" fillId="0" borderId="0" xfId="15" applyNumberFormat="1" applyFont="1" applyProtection="1">
      <protection locked="0"/>
    </xf>
    <xf numFmtId="0" fontId="19" fillId="0" borderId="0" xfId="5" applyFont="1" applyAlignment="1" applyProtection="1">
      <alignment vertical="center"/>
      <protection locked="0"/>
    </xf>
    <xf numFmtId="0" fontId="19" fillId="0" borderId="0" xfId="13" applyFont="1" applyProtection="1">
      <protection locked="0"/>
    </xf>
    <xf numFmtId="169" fontId="5" fillId="6" borderId="0" xfId="20" applyNumberFormat="1" applyFont="1" applyFill="1" applyProtection="1">
      <protection locked="0"/>
    </xf>
    <xf numFmtId="164" fontId="5" fillId="6" borderId="0" xfId="13" quotePrefix="1" applyNumberFormat="1" applyFont="1" applyFill="1" applyAlignment="1" applyProtection="1">
      <alignment horizontal="left" vertical="center"/>
      <protection locked="0"/>
    </xf>
    <xf numFmtId="174" fontId="5" fillId="6" borderId="0" xfId="20" applyNumberFormat="1" applyFont="1" applyFill="1" applyAlignment="1" applyProtection="1">
      <alignment horizontal="right"/>
      <protection locked="0"/>
    </xf>
    <xf numFmtId="175" fontId="5" fillId="6" borderId="0" xfId="18" applyNumberFormat="1" applyFont="1" applyFill="1" applyProtection="1">
      <protection locked="0"/>
    </xf>
    <xf numFmtId="0" fontId="5" fillId="6" borderId="0" xfId="3" applyFont="1" applyFill="1" applyProtection="1">
      <protection locked="0"/>
    </xf>
    <xf numFmtId="0" fontId="18" fillId="0" borderId="0" xfId="9" applyFont="1"/>
    <xf numFmtId="169" fontId="5" fillId="0" borderId="0" xfId="19" applyNumberFormat="1" applyFont="1" applyAlignment="1" applyProtection="1">
      <alignment horizontal="right"/>
      <protection locked="0"/>
    </xf>
    <xf numFmtId="0" fontId="5" fillId="0" borderId="0" xfId="3" quotePrefix="1" applyFont="1" applyProtection="1">
      <protection locked="0"/>
    </xf>
    <xf numFmtId="0" fontId="5" fillId="0" borderId="0" xfId="3" applyFont="1" applyAlignment="1" applyProtection="1">
      <alignment horizontal="left"/>
      <protection locked="0"/>
    </xf>
    <xf numFmtId="0" fontId="9" fillId="12" borderId="0" xfId="3" quotePrefix="1" applyFont="1" applyFill="1" applyProtection="1">
      <protection locked="0"/>
    </xf>
    <xf numFmtId="0" fontId="31" fillId="0" borderId="0" xfId="0" applyFont="1"/>
    <xf numFmtId="2" fontId="31" fillId="0" borderId="0" xfId="0" applyNumberFormat="1" applyFont="1" applyAlignment="1">
      <alignment horizontal="center"/>
    </xf>
    <xf numFmtId="0" fontId="32" fillId="3" borderId="0" xfId="0" applyFont="1" applyFill="1" applyAlignment="1">
      <alignment horizontal="left"/>
    </xf>
    <xf numFmtId="0" fontId="33" fillId="3" borderId="0" xfId="0" applyFont="1" applyFill="1" applyAlignment="1">
      <alignment horizontal="left"/>
    </xf>
    <xf numFmtId="2" fontId="33" fillId="3" borderId="23" xfId="22" applyNumberFormat="1" applyFont="1" applyFill="1" applyBorder="1" applyAlignment="1">
      <alignment horizontal="center" vertical="center"/>
    </xf>
    <xf numFmtId="2" fontId="33" fillId="3" borderId="24" xfId="22" applyNumberFormat="1" applyFont="1" applyFill="1" applyBorder="1" applyAlignment="1">
      <alignment horizontal="center" vertical="center"/>
    </xf>
    <xf numFmtId="0" fontId="33" fillId="3" borderId="25" xfId="22" applyFont="1" applyFill="1" applyBorder="1" applyAlignment="1">
      <alignment horizontal="center" vertical="center"/>
    </xf>
    <xf numFmtId="0" fontId="33" fillId="3" borderId="24" xfId="22" applyFont="1" applyFill="1" applyBorder="1" applyAlignment="1">
      <alignment horizontal="center" vertical="center"/>
    </xf>
    <xf numFmtId="0" fontId="32" fillId="3" borderId="0" xfId="0" applyFont="1" applyFill="1" applyAlignment="1">
      <alignment horizontal="center"/>
    </xf>
    <xf numFmtId="0" fontId="32" fillId="0" borderId="0" xfId="0" applyFont="1" applyAlignment="1">
      <alignment horizontal="center"/>
    </xf>
    <xf numFmtId="0" fontId="32" fillId="0" borderId="0" xfId="0" applyFont="1" applyAlignment="1">
      <alignment horizontal="left"/>
    </xf>
    <xf numFmtId="17" fontId="32" fillId="0" borderId="0" xfId="0" applyNumberFormat="1" applyFont="1" applyAlignment="1">
      <alignment horizontal="center"/>
    </xf>
    <xf numFmtId="15" fontId="32" fillId="0" borderId="0" xfId="0" applyNumberFormat="1" applyFont="1" applyAlignment="1">
      <alignment horizontal="center"/>
    </xf>
    <xf numFmtId="17" fontId="32" fillId="0" borderId="26" xfId="0" applyNumberFormat="1" applyFont="1" applyBorder="1" applyAlignment="1">
      <alignment horizontal="center"/>
    </xf>
    <xf numFmtId="17" fontId="32" fillId="0" borderId="27" xfId="0" applyNumberFormat="1" applyFont="1" applyBorder="1" applyAlignment="1">
      <alignment horizontal="center"/>
    </xf>
    <xf numFmtId="0" fontId="34" fillId="0" borderId="0" xfId="0" applyFont="1" applyAlignment="1">
      <alignment horizontal="left" indent="1"/>
    </xf>
    <xf numFmtId="0" fontId="33" fillId="0" borderId="0" xfId="0" applyFont="1" applyAlignment="1">
      <alignment horizontal="center"/>
    </xf>
    <xf numFmtId="0" fontId="33" fillId="0" borderId="0" xfId="22" applyFont="1" applyAlignment="1">
      <alignment horizontal="center" vertical="center"/>
    </xf>
    <xf numFmtId="0" fontId="34" fillId="0" borderId="0" xfId="22" applyFont="1" applyAlignment="1">
      <alignment horizontal="center" vertical="center"/>
    </xf>
    <xf numFmtId="0" fontId="35" fillId="0" borderId="0" xfId="22" applyFont="1" applyAlignment="1">
      <alignment horizontal="center" vertical="center"/>
    </xf>
    <xf numFmtId="0" fontId="34" fillId="0" borderId="0" xfId="0" applyFont="1"/>
    <xf numFmtId="0" fontId="34" fillId="0" borderId="0" xfId="0" applyFont="1" applyAlignment="1">
      <alignment horizontal="center"/>
    </xf>
    <xf numFmtId="0" fontId="32" fillId="0" borderId="0" xfId="0" applyFont="1"/>
    <xf numFmtId="0" fontId="32" fillId="0" borderId="0" xfId="0" applyFont="1" applyAlignment="1">
      <alignment horizontal="left" indent="1"/>
    </xf>
    <xf numFmtId="0" fontId="36" fillId="0" borderId="0" xfId="0" applyFont="1" applyAlignment="1">
      <alignment horizontal="center"/>
    </xf>
    <xf numFmtId="0" fontId="32" fillId="13" borderId="0" xfId="0" applyFont="1" applyFill="1"/>
    <xf numFmtId="0" fontId="32" fillId="14" borderId="0" xfId="0" applyFont="1" applyFill="1"/>
    <xf numFmtId="0" fontId="33" fillId="14" borderId="0" xfId="0" applyFont="1" applyFill="1"/>
    <xf numFmtId="0" fontId="37" fillId="14" borderId="0" xfId="0" applyFont="1" applyFill="1" applyAlignment="1">
      <alignment horizontal="center"/>
    </xf>
    <xf numFmtId="0" fontId="37" fillId="14" borderId="0" xfId="0" applyFont="1" applyFill="1"/>
    <xf numFmtId="1" fontId="32" fillId="0" borderId="0" xfId="0" applyNumberFormat="1" applyFont="1" applyAlignment="1">
      <alignment horizontal="left" vertical="center" indent="2"/>
    </xf>
    <xf numFmtId="0" fontId="38" fillId="0" borderId="0" xfId="0" applyFont="1" applyAlignment="1">
      <alignment horizontal="center"/>
    </xf>
    <xf numFmtId="3" fontId="34" fillId="0" borderId="0" xfId="0" applyNumberFormat="1" applyFont="1"/>
    <xf numFmtId="168" fontId="35" fillId="0" borderId="0" xfId="0" applyNumberFormat="1" applyFont="1"/>
    <xf numFmtId="1" fontId="32" fillId="0" borderId="0" xfId="0" applyNumberFormat="1" applyFont="1" applyAlignment="1">
      <alignment horizontal="center" vertical="center"/>
    </xf>
    <xf numFmtId="168" fontId="39" fillId="0" borderId="0" xfId="0" applyNumberFormat="1" applyFont="1"/>
    <xf numFmtId="168" fontId="34" fillId="0" borderId="0" xfId="0" applyNumberFormat="1" applyFont="1"/>
    <xf numFmtId="0" fontId="39" fillId="0" borderId="0" xfId="0" applyFont="1" applyAlignment="1">
      <alignment horizontal="center"/>
    </xf>
    <xf numFmtId="0" fontId="32" fillId="0" borderId="0" xfId="0" applyFont="1" applyAlignment="1">
      <alignment horizontal="left" indent="2"/>
    </xf>
    <xf numFmtId="3" fontId="32" fillId="0" borderId="0" xfId="0" applyNumberFormat="1" applyFont="1" applyAlignment="1">
      <alignment horizontal="center"/>
    </xf>
    <xf numFmtId="176" fontId="39" fillId="0" borderId="0" xfId="0" applyNumberFormat="1" applyFont="1"/>
    <xf numFmtId="0" fontId="40" fillId="0" borderId="0" xfId="0" applyFont="1"/>
    <xf numFmtId="3" fontId="40" fillId="0" borderId="0" xfId="0" applyNumberFormat="1" applyFont="1"/>
    <xf numFmtId="0" fontId="40" fillId="0" borderId="0" xfId="0" applyFont="1" applyAlignment="1">
      <alignment horizontal="left" indent="1"/>
    </xf>
    <xf numFmtId="167" fontId="34" fillId="0" borderId="0" xfId="0" applyNumberFormat="1" applyFont="1"/>
    <xf numFmtId="3" fontId="40" fillId="0" borderId="0" xfId="0" applyNumberFormat="1" applyFont="1" applyAlignment="1">
      <alignment horizontal="center"/>
    </xf>
    <xf numFmtId="0" fontId="32" fillId="7" borderId="0" xfId="0" applyFont="1" applyFill="1"/>
    <xf numFmtId="0" fontId="33" fillId="7" borderId="0" xfId="0" applyFont="1" applyFill="1" applyAlignment="1">
      <alignment horizontal="left"/>
    </xf>
    <xf numFmtId="0" fontId="33" fillId="7" borderId="0" xfId="0" applyFont="1" applyFill="1" applyAlignment="1">
      <alignment horizontal="center"/>
    </xf>
    <xf numFmtId="0" fontId="33" fillId="7" borderId="28" xfId="22" applyFont="1" applyFill="1" applyBorder="1" applyAlignment="1">
      <alignment horizontal="center" vertical="center"/>
    </xf>
    <xf numFmtId="1" fontId="42" fillId="0" borderId="0" xfId="0" applyNumberFormat="1" applyFont="1" applyAlignment="1">
      <alignment horizontal="left" vertical="center"/>
    </xf>
    <xf numFmtId="0" fontId="40" fillId="0" borderId="0" xfId="0" applyFont="1" applyAlignment="1">
      <alignment horizontal="center"/>
    </xf>
    <xf numFmtId="168" fontId="40" fillId="0" borderId="0" xfId="0" applyNumberFormat="1" applyFont="1"/>
    <xf numFmtId="2" fontId="32" fillId="0" borderId="0" xfId="0" applyNumberFormat="1" applyFont="1"/>
    <xf numFmtId="168" fontId="36" fillId="16" borderId="0" xfId="0" applyNumberFormat="1" applyFont="1" applyFill="1"/>
    <xf numFmtId="0" fontId="32" fillId="0" borderId="0" xfId="0" quotePrefix="1" applyFont="1" applyAlignment="1">
      <alignment horizontal="left" indent="2"/>
    </xf>
    <xf numFmtId="168" fontId="32" fillId="0" borderId="0" xfId="0" quotePrefix="1" applyNumberFormat="1" applyFont="1" applyAlignment="1">
      <alignment horizontal="center"/>
    </xf>
    <xf numFmtId="2" fontId="32" fillId="0" borderId="0" xfId="0" quotePrefix="1" applyNumberFormat="1" applyFont="1"/>
    <xf numFmtId="168" fontId="32" fillId="0" borderId="0" xfId="0" quotePrefix="1" applyNumberFormat="1" applyFont="1" applyAlignment="1">
      <alignment horizontal="right"/>
    </xf>
    <xf numFmtId="2" fontId="40" fillId="0" borderId="0" xfId="0" applyNumberFormat="1" applyFont="1"/>
    <xf numFmtId="168" fontId="32" fillId="0" borderId="0" xfId="0" applyNumberFormat="1" applyFont="1"/>
    <xf numFmtId="168" fontId="41" fillId="0" borderId="0" xfId="0" applyNumberFormat="1" applyFont="1"/>
    <xf numFmtId="168" fontId="43" fillId="0" borderId="0" xfId="0" applyNumberFormat="1" applyFont="1"/>
    <xf numFmtId="168" fontId="44" fillId="0" borderId="0" xfId="0" applyNumberFormat="1" applyFont="1"/>
    <xf numFmtId="0" fontId="32" fillId="0" borderId="0" xfId="0" quotePrefix="1" applyFont="1" applyAlignment="1">
      <alignment horizontal="center"/>
    </xf>
    <xf numFmtId="0" fontId="33" fillId="0" borderId="0" xfId="0" applyFont="1" applyAlignment="1">
      <alignment horizontal="left"/>
    </xf>
    <xf numFmtId="177" fontId="35" fillId="0" borderId="0" xfId="0" applyNumberFormat="1" applyFont="1"/>
    <xf numFmtId="0" fontId="32" fillId="0" borderId="0" xfId="0" applyFont="1" applyAlignment="1">
      <alignment horizontal="left" indent="3"/>
    </xf>
    <xf numFmtId="168" fontId="36" fillId="0" borderId="0" xfId="0" applyNumberFormat="1" applyFont="1"/>
    <xf numFmtId="176" fontId="32" fillId="0" borderId="0" xfId="0" applyNumberFormat="1" applyFont="1"/>
    <xf numFmtId="177" fontId="32" fillId="0" borderId="0" xfId="1" quotePrefix="1" applyNumberFormat="1" applyFont="1"/>
    <xf numFmtId="176" fontId="40" fillId="0" borderId="0" xfId="0" applyNumberFormat="1" applyFont="1"/>
    <xf numFmtId="0" fontId="31" fillId="0" borderId="0" xfId="0" applyFont="1" applyAlignment="1">
      <alignment horizontal="left" indent="3"/>
    </xf>
    <xf numFmtId="168" fontId="31" fillId="0" borderId="0" xfId="0" applyNumberFormat="1" applyFont="1"/>
    <xf numFmtId="0" fontId="32" fillId="0" borderId="0" xfId="0" quotePrefix="1" applyFont="1" applyAlignment="1">
      <alignment horizontal="left" indent="3"/>
    </xf>
    <xf numFmtId="168" fontId="34" fillId="0" borderId="0" xfId="0" quotePrefix="1" applyNumberFormat="1" applyFont="1" applyAlignment="1">
      <alignment horizontal="right"/>
    </xf>
    <xf numFmtId="0" fontId="40" fillId="0" borderId="0" xfId="0" applyFont="1" applyAlignment="1">
      <alignment horizontal="left" indent="2"/>
    </xf>
    <xf numFmtId="177" fontId="40" fillId="0" borderId="0" xfId="1" applyNumberFormat="1" applyFont="1"/>
    <xf numFmtId="0" fontId="31" fillId="0" borderId="0" xfId="0" applyFont="1" applyAlignment="1">
      <alignment horizontal="center"/>
    </xf>
    <xf numFmtId="177" fontId="31" fillId="0" borderId="0" xfId="1" applyNumberFormat="1" applyFont="1"/>
    <xf numFmtId="0" fontId="33" fillId="14" borderId="0" xfId="0" applyFont="1" applyFill="1" applyAlignment="1">
      <alignment horizontal="left"/>
    </xf>
    <xf numFmtId="0" fontId="33" fillId="14" borderId="0" xfId="0" applyFont="1" applyFill="1" applyAlignment="1">
      <alignment horizontal="center"/>
    </xf>
    <xf numFmtId="0" fontId="33" fillId="14" borderId="28" xfId="22" applyFont="1" applyFill="1" applyBorder="1" applyAlignment="1">
      <alignment horizontal="center" vertical="center"/>
    </xf>
    <xf numFmtId="177" fontId="35" fillId="0" borderId="0" xfId="1" applyNumberFormat="1" applyFont="1"/>
    <xf numFmtId="168" fontId="39" fillId="0" borderId="0" xfId="1" applyNumberFormat="1" applyFont="1"/>
    <xf numFmtId="167" fontId="34" fillId="0" borderId="0" xfId="1" applyNumberFormat="1" applyFont="1"/>
    <xf numFmtId="10" fontId="36" fillId="0" borderId="0" xfId="0" applyNumberFormat="1" applyFont="1"/>
    <xf numFmtId="0" fontId="30" fillId="0" borderId="0" xfId="0" applyFont="1"/>
    <xf numFmtId="168" fontId="34" fillId="0" borderId="0" xfId="1" applyNumberFormat="1" applyFont="1"/>
    <xf numFmtId="0" fontId="45" fillId="0" borderId="0" xfId="0" applyFont="1"/>
    <xf numFmtId="0" fontId="46" fillId="0" borderId="0" xfId="0" applyFont="1"/>
    <xf numFmtId="0" fontId="32" fillId="0" borderId="0" xfId="0" quotePrefix="1" applyFont="1" applyAlignment="1">
      <alignment horizontal="right"/>
    </xf>
    <xf numFmtId="168" fontId="35" fillId="0" borderId="0" xfId="1" applyNumberFormat="1" applyFont="1"/>
    <xf numFmtId="168" fontId="41" fillId="0" borderId="0" xfId="1" applyNumberFormat="1" applyFont="1"/>
    <xf numFmtId="0" fontId="40" fillId="0" borderId="0" xfId="0" applyFont="1" applyAlignment="1">
      <alignment horizontal="left" indent="3"/>
    </xf>
    <xf numFmtId="168" fontId="43" fillId="0" borderId="0" xfId="1" applyNumberFormat="1" applyFont="1"/>
    <xf numFmtId="10" fontId="32" fillId="0" borderId="0" xfId="0" applyNumberFormat="1" applyFont="1"/>
    <xf numFmtId="0" fontId="38" fillId="0" borderId="0" xfId="0" applyFont="1" applyAlignment="1">
      <alignment horizontal="left" indent="1"/>
    </xf>
    <xf numFmtId="177" fontId="32" fillId="0" borderId="0" xfId="1" applyNumberFormat="1" applyFont="1"/>
    <xf numFmtId="0" fontId="32" fillId="0" borderId="0" xfId="0" applyFont="1" applyAlignment="1">
      <alignment horizontal="left" indent="4"/>
    </xf>
    <xf numFmtId="1" fontId="47" fillId="0" borderId="0" xfId="0" applyNumberFormat="1" applyFont="1" applyAlignment="1">
      <alignment horizontal="left" vertical="center"/>
    </xf>
    <xf numFmtId="168" fontId="36" fillId="0" borderId="0" xfId="1" applyNumberFormat="1" applyFont="1"/>
    <xf numFmtId="178" fontId="35" fillId="0" borderId="0" xfId="1" applyNumberFormat="1" applyFont="1"/>
    <xf numFmtId="167" fontId="36" fillId="0" borderId="0" xfId="0" applyNumberFormat="1" applyFont="1"/>
    <xf numFmtId="167" fontId="32" fillId="0" borderId="0" xfId="0" applyNumberFormat="1" applyFont="1"/>
    <xf numFmtId="167" fontId="36" fillId="16" borderId="0" xfId="0" applyNumberFormat="1" applyFont="1" applyFill="1"/>
    <xf numFmtId="4" fontId="39" fillId="0" borderId="0" xfId="0" applyNumberFormat="1" applyFont="1"/>
    <xf numFmtId="4" fontId="32" fillId="0" borderId="0" xfId="0" applyNumberFormat="1" applyFont="1"/>
    <xf numFmtId="168" fontId="34" fillId="16" borderId="0" xfId="0" applyNumberFormat="1" applyFont="1" applyFill="1"/>
    <xf numFmtId="168" fontId="31" fillId="0" borderId="0" xfId="1" applyNumberFormat="1" applyFont="1"/>
    <xf numFmtId="0" fontId="39" fillId="0" borderId="0" xfId="0" applyFont="1"/>
    <xf numFmtId="10" fontId="36" fillId="0" borderId="0" xfId="0" applyNumberFormat="1" applyFont="1" applyAlignment="1">
      <alignment horizontal="center"/>
    </xf>
    <xf numFmtId="10" fontId="34" fillId="0" borderId="0" xfId="0" applyNumberFormat="1" applyFont="1" applyAlignment="1">
      <alignment horizontal="center"/>
    </xf>
    <xf numFmtId="4" fontId="36" fillId="0" borderId="0" xfId="0" applyNumberFormat="1" applyFont="1" applyAlignment="1">
      <alignment horizontal="center"/>
    </xf>
    <xf numFmtId="167" fontId="36" fillId="0" borderId="0" xfId="0" applyNumberFormat="1" applyFont="1" applyAlignment="1">
      <alignment horizontal="center"/>
    </xf>
    <xf numFmtId="167" fontId="32" fillId="0" borderId="0" xfId="0" applyNumberFormat="1" applyFont="1" applyAlignment="1">
      <alignment horizontal="center"/>
    </xf>
    <xf numFmtId="0" fontId="32" fillId="0" borderId="0" xfId="0" quotePrefix="1" applyFont="1" applyAlignment="1">
      <alignment horizontal="left" indent="1"/>
    </xf>
    <xf numFmtId="168" fontId="32" fillId="0" borderId="0" xfId="0" applyNumberFormat="1" applyFont="1" applyAlignment="1">
      <alignment horizontal="center"/>
    </xf>
    <xf numFmtId="168" fontId="40" fillId="0" borderId="0" xfId="0" applyNumberFormat="1" applyFont="1" applyAlignment="1">
      <alignment horizontal="center"/>
    </xf>
    <xf numFmtId="166" fontId="38" fillId="8" borderId="29" xfId="0" applyNumberFormat="1" applyFont="1" applyFill="1" applyBorder="1" applyAlignment="1">
      <alignment horizontal="center"/>
    </xf>
    <xf numFmtId="0" fontId="49" fillId="13" borderId="0" xfId="23" applyFont="1" applyFill="1"/>
    <xf numFmtId="0" fontId="49" fillId="13" borderId="0" xfId="23" applyFont="1" applyFill="1" applyAlignment="1">
      <alignment horizontal="center"/>
    </xf>
    <xf numFmtId="179" fontId="49" fillId="13" borderId="0" xfId="23" applyNumberFormat="1" applyFont="1" applyFill="1" applyAlignment="1">
      <alignment horizontal="right"/>
    </xf>
    <xf numFmtId="0" fontId="50" fillId="13" borderId="0" xfId="23" applyFont="1" applyFill="1"/>
    <xf numFmtId="180" fontId="49" fillId="13" borderId="0" xfId="23" applyNumberFormat="1" applyFont="1" applyFill="1" applyAlignment="1">
      <alignment horizontal="center"/>
    </xf>
    <xf numFmtId="17" fontId="49" fillId="13" borderId="0" xfId="23" applyNumberFormat="1" applyFont="1" applyFill="1" applyAlignment="1">
      <alignment horizontal="center"/>
    </xf>
    <xf numFmtId="176" fontId="49" fillId="13" borderId="0" xfId="23" applyNumberFormat="1" applyFont="1" applyFill="1" applyAlignment="1">
      <alignment horizontal="right"/>
    </xf>
    <xf numFmtId="0" fontId="49" fillId="13" borderId="0" xfId="23" applyFont="1" applyFill="1" applyAlignment="1">
      <alignment horizontal="right"/>
    </xf>
    <xf numFmtId="0" fontId="49" fillId="0" borderId="0" xfId="23" applyFont="1"/>
    <xf numFmtId="168" fontId="49" fillId="13" borderId="0" xfId="23" applyNumberFormat="1" applyFont="1" applyFill="1" applyAlignment="1">
      <alignment horizontal="right"/>
    </xf>
    <xf numFmtId="0" fontId="49" fillId="13" borderId="0" xfId="23" applyFont="1" applyFill="1" applyAlignment="1">
      <alignment horizontal="left" indent="2"/>
    </xf>
    <xf numFmtId="0" fontId="50" fillId="0" borderId="0" xfId="23" applyFont="1"/>
    <xf numFmtId="0" fontId="50" fillId="13" borderId="0" xfId="23" applyFont="1" applyFill="1" applyAlignment="1">
      <alignment horizontal="left" indent="1"/>
    </xf>
    <xf numFmtId="168" fontId="50" fillId="13" borderId="0" xfId="23" applyNumberFormat="1" applyFont="1" applyFill="1" applyAlignment="1">
      <alignment horizontal="right"/>
    </xf>
    <xf numFmtId="0" fontId="50" fillId="13" borderId="0" xfId="23" applyFont="1" applyFill="1" applyAlignment="1">
      <alignment horizontal="left" indent="2"/>
    </xf>
    <xf numFmtId="0" fontId="51" fillId="0" borderId="0" xfId="23" applyFont="1"/>
    <xf numFmtId="0" fontId="52" fillId="0" borderId="0" xfId="23" applyFont="1" applyAlignment="1">
      <alignment horizontal="center"/>
    </xf>
    <xf numFmtId="180" fontId="51" fillId="0" borderId="0" xfId="23" applyNumberFormat="1" applyFont="1" applyAlignment="1">
      <alignment horizontal="right"/>
    </xf>
    <xf numFmtId="0" fontId="49" fillId="13" borderId="0" xfId="23" applyFont="1" applyFill="1" applyAlignment="1">
      <alignment horizontal="left" indent="1"/>
    </xf>
    <xf numFmtId="167" fontId="53" fillId="13" borderId="0" xfId="23" applyNumberFormat="1" applyFont="1" applyFill="1" applyAlignment="1">
      <alignment horizontal="right"/>
    </xf>
    <xf numFmtId="0" fontId="49" fillId="13" borderId="0" xfId="23" applyFont="1" applyFill="1" applyAlignment="1">
      <alignment horizontal="left"/>
    </xf>
    <xf numFmtId="0" fontId="50" fillId="13" borderId="0" xfId="23" applyFont="1" applyFill="1" applyAlignment="1">
      <alignment horizontal="left"/>
    </xf>
    <xf numFmtId="0" fontId="54" fillId="13" borderId="0" xfId="23" applyFont="1" applyFill="1"/>
    <xf numFmtId="0" fontId="54" fillId="13" borderId="0" xfId="23" applyFont="1" applyFill="1" applyAlignment="1">
      <alignment horizontal="center"/>
    </xf>
    <xf numFmtId="176" fontId="54" fillId="13" borderId="0" xfId="23" applyNumberFormat="1" applyFont="1" applyFill="1" applyAlignment="1">
      <alignment horizontal="right"/>
    </xf>
    <xf numFmtId="0" fontId="49" fillId="13" borderId="0" xfId="23" applyFont="1" applyFill="1" applyAlignment="1">
      <alignment horizontal="left" indent="3"/>
    </xf>
    <xf numFmtId="9" fontId="49" fillId="13" borderId="0" xfId="2" applyFont="1" applyFill="1" applyAlignment="1">
      <alignment horizontal="right"/>
    </xf>
    <xf numFmtId="176" fontId="50" fillId="13" borderId="0" xfId="23" applyNumberFormat="1" applyFont="1" applyFill="1" applyAlignment="1">
      <alignment horizontal="right"/>
    </xf>
    <xf numFmtId="0" fontId="54" fillId="13" borderId="0" xfId="23" applyFont="1" applyFill="1" applyAlignment="1">
      <alignment horizontal="left" indent="1"/>
    </xf>
    <xf numFmtId="0" fontId="0" fillId="0" borderId="0" xfId="0" applyAlignment="1">
      <alignment vertical="top"/>
    </xf>
    <xf numFmtId="0" fontId="55" fillId="0" borderId="0" xfId="0" applyFont="1" applyAlignment="1">
      <alignment horizontal="left" vertical="top" indent="1"/>
    </xf>
    <xf numFmtId="0" fontId="2" fillId="0" borderId="0" xfId="0" applyFont="1" applyAlignment="1">
      <alignment horizontal="center" vertical="top"/>
    </xf>
    <xf numFmtId="0" fontId="2" fillId="3" borderId="0" xfId="0" applyFont="1" applyFill="1" applyAlignment="1">
      <alignment horizontal="center" vertical="center"/>
    </xf>
    <xf numFmtId="0" fontId="24" fillId="9" borderId="0" xfId="0" applyFont="1" applyFill="1" applyAlignment="1">
      <alignment horizontal="center" vertical="center"/>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0" borderId="0" xfId="0" applyFont="1" applyAlignment="1">
      <alignment horizontal="center" vertical="center" wrapText="1"/>
    </xf>
    <xf numFmtId="17" fontId="57" fillId="0" borderId="28" xfId="24" applyNumberFormat="1" applyFont="1" applyBorder="1" applyAlignment="1" applyProtection="1">
      <alignment horizontal="center" vertical="center"/>
    </xf>
    <xf numFmtId="0" fontId="7" fillId="0" borderId="0" xfId="25" applyFont="1" applyAlignment="1">
      <alignment horizontal="center" vertical="center"/>
    </xf>
    <xf numFmtId="0" fontId="2" fillId="0" borderId="0" xfId="0" applyFont="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168" fontId="0" fillId="0" borderId="0" xfId="0" applyNumberFormat="1" applyAlignment="1">
      <alignment horizontal="right" vertical="center"/>
    </xf>
    <xf numFmtId="168" fontId="0" fillId="0" borderId="31" xfId="0" applyNumberFormat="1" applyBorder="1" applyAlignment="1">
      <alignment horizontal="right" vertical="center"/>
    </xf>
    <xf numFmtId="167" fontId="0" fillId="0" borderId="32" xfId="0" applyNumberFormat="1" applyBorder="1" applyAlignment="1">
      <alignment horizontal="right" vertical="center"/>
    </xf>
    <xf numFmtId="167" fontId="0" fillId="0" borderId="0" xfId="0" applyNumberFormat="1" applyAlignment="1">
      <alignment horizontal="right" vertical="center"/>
    </xf>
    <xf numFmtId="0" fontId="0" fillId="0" borderId="0" xfId="0" applyAlignment="1">
      <alignment vertical="center"/>
    </xf>
    <xf numFmtId="0" fontId="59" fillId="0" borderId="0" xfId="24" applyFont="1" applyProtection="1">
      <alignment vertical="center"/>
    </xf>
    <xf numFmtId="0" fontId="60" fillId="0" borderId="0" xfId="25" applyFont="1" applyAlignment="1">
      <alignment vertical="center"/>
    </xf>
    <xf numFmtId="168" fontId="61" fillId="18" borderId="0" xfId="24" applyNumberFormat="1" applyFont="1" applyFill="1" applyAlignment="1" applyProtection="1">
      <alignment horizontal="center" vertical="center"/>
    </xf>
    <xf numFmtId="168" fontId="0" fillId="0" borderId="0" xfId="0" applyNumberFormat="1"/>
    <xf numFmtId="168" fontId="62" fillId="0" borderId="0" xfId="0" applyNumberFormat="1" applyFont="1" applyAlignment="1">
      <alignment horizontal="right" vertical="center"/>
    </xf>
    <xf numFmtId="0" fontId="3" fillId="0" borderId="0" xfId="0" applyFont="1"/>
    <xf numFmtId="0" fontId="49" fillId="0" borderId="0" xfId="23" applyFont="1" applyAlignment="1">
      <alignment horizontal="right"/>
    </xf>
    <xf numFmtId="167" fontId="39" fillId="0" borderId="0" xfId="0" applyNumberFormat="1" applyFont="1"/>
    <xf numFmtId="0" fontId="2" fillId="3" borderId="0" xfId="0" applyFont="1" applyFill="1" applyAlignment="1">
      <alignment horizontal="left" indent="1"/>
    </xf>
    <xf numFmtId="0" fontId="2" fillId="3" borderId="0" xfId="0" applyFont="1" applyFill="1"/>
    <xf numFmtId="0" fontId="10" fillId="3" borderId="0" xfId="0" applyFont="1" applyFill="1" applyAlignment="1">
      <alignment horizontal="center" vertical="center"/>
    </xf>
    <xf numFmtId="0" fontId="64" fillId="13" borderId="0" xfId="0" applyFont="1" applyFill="1" applyAlignment="1">
      <alignment horizontal="left" indent="1"/>
    </xf>
    <xf numFmtId="0" fontId="64" fillId="13" borderId="0" xfId="0" applyFont="1" applyFill="1"/>
    <xf numFmtId="168" fontId="64" fillId="13" borderId="0" xfId="0" applyNumberFormat="1" applyFont="1" applyFill="1"/>
    <xf numFmtId="0" fontId="2" fillId="0" borderId="0" xfId="0" applyFont="1"/>
    <xf numFmtId="0" fontId="7" fillId="13" borderId="0" xfId="0" applyFont="1" applyFill="1"/>
    <xf numFmtId="168" fontId="7" fillId="0" borderId="0" xfId="0" applyNumberFormat="1" applyFont="1"/>
    <xf numFmtId="176" fontId="0" fillId="0" borderId="0" xfId="0" applyNumberFormat="1"/>
    <xf numFmtId="0" fontId="64" fillId="13" borderId="33" xfId="0" applyFont="1" applyFill="1" applyBorder="1" applyAlignment="1">
      <alignment horizontal="left" indent="1"/>
    </xf>
    <xf numFmtId="0" fontId="7" fillId="13" borderId="33" xfId="0" applyFont="1" applyFill="1" applyBorder="1"/>
    <xf numFmtId="182" fontId="7" fillId="13" borderId="33" xfId="0" applyNumberFormat="1" applyFont="1" applyFill="1" applyBorder="1"/>
    <xf numFmtId="167" fontId="3" fillId="0" borderId="0" xfId="0" applyNumberFormat="1" applyFont="1"/>
    <xf numFmtId="182" fontId="0" fillId="13" borderId="33" xfId="0" applyNumberFormat="1" applyFill="1" applyBorder="1"/>
    <xf numFmtId="8" fontId="64" fillId="13" borderId="0" xfId="0" applyNumberFormat="1" applyFont="1" applyFill="1"/>
    <xf numFmtId="176" fontId="64" fillId="13" borderId="0" xfId="0" applyNumberFormat="1" applyFont="1" applyFill="1"/>
    <xf numFmtId="8" fontId="7" fillId="0" borderId="0" xfId="0" applyNumberFormat="1" applyFont="1"/>
    <xf numFmtId="176" fontId="7" fillId="13" borderId="0" xfId="0" applyNumberFormat="1" applyFont="1" applyFill="1"/>
    <xf numFmtId="167" fontId="7" fillId="13" borderId="33" xfId="0" applyNumberFormat="1" applyFont="1" applyFill="1" applyBorder="1"/>
    <xf numFmtId="0" fontId="0" fillId="13" borderId="0" xfId="0" applyFill="1" applyAlignment="1">
      <alignment horizontal="left" indent="1"/>
    </xf>
    <xf numFmtId="0" fontId="0" fillId="13" borderId="0" xfId="0" applyFill="1"/>
    <xf numFmtId="167" fontId="0" fillId="13" borderId="0" xfId="0" applyNumberFormat="1" applyFill="1"/>
    <xf numFmtId="0" fontId="0" fillId="0" borderId="0" xfId="0" applyAlignment="1">
      <alignment horizontal="left" indent="1"/>
    </xf>
    <xf numFmtId="0" fontId="30" fillId="0" borderId="0" xfId="0" applyFont="1" applyAlignment="1">
      <alignment horizontal="left" indent="2"/>
    </xf>
    <xf numFmtId="168" fontId="32" fillId="15" borderId="0" xfId="0" applyNumberFormat="1" applyFont="1" applyFill="1"/>
    <xf numFmtId="14" fontId="0" fillId="0" borderId="0" xfId="0" applyNumberFormat="1"/>
    <xf numFmtId="0" fontId="50" fillId="13" borderId="0" xfId="23" applyFont="1" applyFill="1" applyAlignment="1">
      <alignment horizontal="center"/>
    </xf>
    <xf numFmtId="168" fontId="65" fillId="13" borderId="0" xfId="23" applyNumberFormat="1" applyFont="1" applyFill="1" applyAlignment="1">
      <alignment horizontal="right"/>
    </xf>
    <xf numFmtId="183" fontId="34" fillId="0" borderId="0" xfId="0" applyNumberFormat="1" applyFont="1" applyAlignment="1">
      <alignment horizontal="right"/>
    </xf>
    <xf numFmtId="183" fontId="43" fillId="0" borderId="0" xfId="0" applyNumberFormat="1" applyFont="1"/>
    <xf numFmtId="166" fontId="43" fillId="0" borderId="0" xfId="0" applyNumberFormat="1" applyFont="1"/>
    <xf numFmtId="2" fontId="35" fillId="0" borderId="0" xfId="22" applyNumberFormat="1" applyFont="1" applyAlignment="1">
      <alignment horizontal="center" vertical="center"/>
    </xf>
    <xf numFmtId="4" fontId="5" fillId="0" borderId="1" xfId="8" applyNumberFormat="1" applyFont="1" applyBorder="1" applyAlignment="1" applyProtection="1">
      <alignment horizontal="left"/>
      <protection locked="0"/>
    </xf>
    <xf numFmtId="0" fontId="33" fillId="3" borderId="0" xfId="22" applyFont="1" applyFill="1" applyAlignment="1">
      <alignment horizontal="center" vertical="center"/>
    </xf>
    <xf numFmtId="10" fontId="36" fillId="20" borderId="0" xfId="0" applyNumberFormat="1" applyFont="1" applyFill="1"/>
    <xf numFmtId="168" fontId="36" fillId="20" borderId="0" xfId="0" applyNumberFormat="1" applyFont="1" applyFill="1"/>
    <xf numFmtId="1" fontId="40" fillId="0" borderId="0" xfId="0" applyNumberFormat="1" applyFont="1" applyAlignment="1">
      <alignment horizontal="left" vertical="center" indent="2"/>
    </xf>
    <xf numFmtId="1" fontId="40" fillId="0" borderId="0" xfId="0" applyNumberFormat="1" applyFont="1" applyAlignment="1">
      <alignment horizontal="left" vertical="center" indent="1"/>
    </xf>
    <xf numFmtId="176" fontId="31" fillId="0" borderId="0" xfId="0" applyNumberFormat="1" applyFont="1"/>
    <xf numFmtId="1" fontId="32" fillId="0" borderId="0" xfId="0" applyNumberFormat="1" applyFont="1" applyAlignment="1">
      <alignment horizontal="left" vertical="center" indent="3"/>
    </xf>
    <xf numFmtId="0" fontId="35" fillId="0" borderId="0" xfId="22" quotePrefix="1" applyFont="1" applyAlignment="1">
      <alignment horizontal="center" vertical="center"/>
    </xf>
    <xf numFmtId="8" fontId="39" fillId="0" borderId="0" xfId="0" applyNumberFormat="1" applyFont="1"/>
    <xf numFmtId="167" fontId="35" fillId="0" borderId="0" xfId="22" applyNumberFormat="1" applyFont="1" applyAlignment="1">
      <alignment horizontal="center" vertical="center"/>
    </xf>
    <xf numFmtId="0" fontId="70" fillId="0" borderId="0" xfId="0" applyFont="1" applyAlignment="1">
      <alignment horizontal="left" indent="3"/>
    </xf>
    <xf numFmtId="166" fontId="38" fillId="0" borderId="0" xfId="0" applyNumberFormat="1" applyFont="1" applyAlignment="1">
      <alignment horizontal="center"/>
    </xf>
    <xf numFmtId="8" fontId="34" fillId="0" borderId="0" xfId="0" applyNumberFormat="1" applyFont="1"/>
    <xf numFmtId="14" fontId="36" fillId="0" borderId="0" xfId="0" applyNumberFormat="1" applyFont="1" applyAlignment="1">
      <alignment horizontal="center"/>
    </xf>
    <xf numFmtId="0" fontId="71" fillId="13" borderId="0" xfId="23" applyFont="1" applyFill="1" applyAlignment="1">
      <alignment horizontal="left"/>
    </xf>
    <xf numFmtId="0" fontId="72" fillId="0" borderId="0" xfId="38" applyFont="1"/>
    <xf numFmtId="0" fontId="72" fillId="0" borderId="0" xfId="38" applyFont="1" applyAlignment="1">
      <alignment horizontal="left"/>
    </xf>
    <xf numFmtId="0" fontId="72" fillId="0" borderId="0" xfId="38" applyFont="1" applyAlignment="1">
      <alignment horizontal="center"/>
    </xf>
    <xf numFmtId="0" fontId="75" fillId="0" borderId="0" xfId="38" applyFont="1" applyAlignment="1">
      <alignment vertical="center"/>
    </xf>
    <xf numFmtId="0" fontId="76" fillId="8" borderId="0" xfId="38" applyFont="1" applyFill="1" applyAlignment="1">
      <alignment horizontal="left" vertical="center"/>
    </xf>
    <xf numFmtId="0" fontId="77" fillId="8" borderId="0" xfId="38" applyFont="1" applyFill="1" applyAlignment="1">
      <alignment vertical="center"/>
    </xf>
    <xf numFmtId="0" fontId="77" fillId="8" borderId="0" xfId="38" applyFont="1" applyFill="1" applyAlignment="1">
      <alignment horizontal="center" vertical="center"/>
    </xf>
    <xf numFmtId="0" fontId="72" fillId="0" borderId="0" xfId="38" applyFont="1" applyAlignment="1">
      <alignment vertical="center"/>
    </xf>
    <xf numFmtId="0" fontId="78" fillId="0" borderId="0" xfId="38" applyFont="1" applyAlignment="1">
      <alignment vertical="center"/>
    </xf>
    <xf numFmtId="0" fontId="78" fillId="0" borderId="34" xfId="38" applyFont="1" applyBorder="1" applyAlignment="1">
      <alignment vertical="center"/>
    </xf>
    <xf numFmtId="0" fontId="78" fillId="0" borderId="35" xfId="39" applyFont="1" applyBorder="1" applyAlignment="1">
      <alignment vertical="center"/>
    </xf>
    <xf numFmtId="0" fontId="78" fillId="0" borderId="35" xfId="40" applyFont="1" applyBorder="1" applyAlignment="1">
      <alignment vertical="center"/>
    </xf>
    <xf numFmtId="0" fontId="79" fillId="0" borderId="35" xfId="40" applyFont="1" applyBorder="1" applyAlignment="1">
      <alignment horizontal="right" vertical="center"/>
    </xf>
    <xf numFmtId="0" fontId="80" fillId="0" borderId="0" xfId="39" applyFont="1" applyAlignment="1">
      <alignment vertical="center"/>
    </xf>
    <xf numFmtId="0" fontId="78" fillId="0" borderId="0" xfId="39" applyFont="1" applyAlignment="1">
      <alignment vertical="center"/>
    </xf>
    <xf numFmtId="0" fontId="78" fillId="0" borderId="0" xfId="40" applyFont="1" applyAlignment="1">
      <alignment vertical="center"/>
    </xf>
    <xf numFmtId="0" fontId="79" fillId="0" borderId="0" xfId="40" applyFont="1" applyAlignment="1">
      <alignment horizontal="right" vertical="center"/>
    </xf>
    <xf numFmtId="0" fontId="78" fillId="0" borderId="0" xfId="40" applyFont="1" applyAlignment="1">
      <alignment horizontal="right" vertical="center"/>
    </xf>
    <xf numFmtId="0" fontId="78" fillId="0" borderId="0" xfId="38" applyFont="1" applyAlignment="1">
      <alignment horizontal="right" vertical="center"/>
    </xf>
    <xf numFmtId="0" fontId="78" fillId="0" borderId="0" xfId="39" applyFont="1" applyAlignment="1">
      <alignment horizontal="left" vertical="center"/>
    </xf>
    <xf numFmtId="0" fontId="83" fillId="0" borderId="0" xfId="38" applyFont="1" applyAlignment="1">
      <alignment vertical="center"/>
    </xf>
    <xf numFmtId="0" fontId="83" fillId="0" borderId="36" xfId="38" applyFont="1" applyBorder="1" applyAlignment="1">
      <alignment vertical="center"/>
    </xf>
    <xf numFmtId="0" fontId="83" fillId="0" borderId="36" xfId="40" applyFont="1" applyBorder="1" applyAlignment="1">
      <alignment vertical="center"/>
    </xf>
    <xf numFmtId="0" fontId="78" fillId="0" borderId="36" xfId="38" applyFont="1" applyBorder="1" applyAlignment="1">
      <alignment vertical="center"/>
    </xf>
    <xf numFmtId="0" fontId="78" fillId="0" borderId="36" xfId="38" applyFont="1" applyBorder="1" applyAlignment="1">
      <alignment horizontal="right" vertical="center"/>
    </xf>
    <xf numFmtId="0" fontId="80" fillId="0" borderId="0" xfId="40" applyFont="1" applyAlignment="1">
      <alignment vertical="center"/>
    </xf>
    <xf numFmtId="0" fontId="82" fillId="0" borderId="0" xfId="40" applyFont="1" applyAlignment="1">
      <alignment horizontal="right" vertical="center"/>
    </xf>
    <xf numFmtId="0" fontId="82" fillId="0" borderId="0" xfId="39" applyFont="1" applyAlignment="1">
      <alignment vertical="center"/>
    </xf>
    <xf numFmtId="0" fontId="84" fillId="0" borderId="0" xfId="38" applyFont="1" applyAlignment="1">
      <alignment horizontal="right" vertical="center"/>
    </xf>
    <xf numFmtId="0" fontId="85" fillId="0" borderId="0" xfId="38" applyFont="1" applyAlignment="1">
      <alignment horizontal="right" vertical="center"/>
    </xf>
    <xf numFmtId="0" fontId="5" fillId="0" borderId="0" xfId="43" applyFont="1" applyAlignment="1">
      <alignment vertical="center"/>
    </xf>
    <xf numFmtId="0" fontId="78" fillId="0" borderId="0" xfId="38" applyFont="1"/>
    <xf numFmtId="0" fontId="73" fillId="7" borderId="0" xfId="38" applyFont="1" applyFill="1" applyAlignment="1">
      <alignment horizontal="left" vertical="center"/>
    </xf>
    <xf numFmtId="0" fontId="74" fillId="7" borderId="0" xfId="38" applyFont="1" applyFill="1"/>
    <xf numFmtId="0" fontId="74" fillId="7" borderId="0" xfId="38" applyFont="1" applyFill="1" applyAlignment="1">
      <alignment horizontal="center"/>
    </xf>
    <xf numFmtId="0" fontId="74" fillId="7" borderId="0" xfId="38" applyFont="1" applyFill="1" applyAlignment="1">
      <alignment horizontal="left"/>
    </xf>
    <xf numFmtId="178" fontId="34" fillId="0" borderId="0" xfId="1" applyNumberFormat="1" applyFont="1"/>
    <xf numFmtId="168" fontId="87" fillId="13" borderId="0" xfId="23" applyNumberFormat="1" applyFont="1" applyFill="1" applyAlignment="1">
      <alignment horizontal="right"/>
    </xf>
    <xf numFmtId="184" fontId="51" fillId="0" borderId="0" xfId="23" applyNumberFormat="1" applyFont="1"/>
    <xf numFmtId="184" fontId="88" fillId="0" borderId="0" xfId="23" applyNumberFormat="1" applyFont="1" applyAlignment="1">
      <alignment horizontal="center"/>
    </xf>
    <xf numFmtId="4" fontId="49" fillId="0" borderId="0" xfId="23" applyNumberFormat="1" applyFont="1"/>
    <xf numFmtId="3" fontId="49" fillId="0" borderId="0" xfId="23" applyNumberFormat="1" applyFont="1"/>
    <xf numFmtId="185" fontId="49" fillId="0" borderId="0" xfId="23" applyNumberFormat="1" applyFont="1"/>
    <xf numFmtId="0" fontId="89" fillId="0" borderId="0" xfId="23" applyFont="1"/>
    <xf numFmtId="3" fontId="49" fillId="13" borderId="0" xfId="23" applyNumberFormat="1" applyFont="1" applyFill="1" applyAlignment="1">
      <alignment horizontal="right"/>
    </xf>
    <xf numFmtId="3" fontId="50" fillId="13" borderId="0" xfId="23" applyNumberFormat="1" applyFont="1" applyFill="1" applyAlignment="1">
      <alignment horizontal="right"/>
    </xf>
    <xf numFmtId="1" fontId="40" fillId="0" borderId="0" xfId="0" applyNumberFormat="1" applyFont="1" applyAlignment="1">
      <alignment horizontal="center" vertical="center"/>
    </xf>
    <xf numFmtId="167" fontId="49" fillId="13" borderId="0" xfId="23" applyNumberFormat="1" applyFont="1" applyFill="1" applyAlignment="1">
      <alignment horizontal="right"/>
    </xf>
    <xf numFmtId="168" fontId="35" fillId="0" borderId="0" xfId="22" applyNumberFormat="1" applyFont="1" applyAlignment="1">
      <alignment horizontal="center" vertical="center"/>
    </xf>
    <xf numFmtId="0" fontId="50" fillId="0" borderId="0" xfId="23" applyFont="1" applyAlignment="1">
      <alignment horizontal="left" indent="1"/>
    </xf>
    <xf numFmtId="0" fontId="49" fillId="0" borderId="0" xfId="23" applyFont="1" applyAlignment="1">
      <alignment horizontal="left" indent="2"/>
    </xf>
    <xf numFmtId="186" fontId="36" fillId="0" borderId="0" xfId="0" applyNumberFormat="1" applyFont="1" applyAlignment="1">
      <alignment horizontal="center"/>
    </xf>
    <xf numFmtId="185" fontId="40" fillId="0" borderId="0" xfId="0" applyNumberFormat="1" applyFont="1"/>
    <xf numFmtId="182" fontId="40" fillId="13" borderId="0" xfId="0" applyNumberFormat="1" applyFont="1" applyFill="1"/>
    <xf numFmtId="8" fontId="78" fillId="0" borderId="0" xfId="40" applyNumberFormat="1" applyFont="1" applyAlignment="1">
      <alignment horizontal="right" vertical="center" wrapText="1"/>
    </xf>
    <xf numFmtId="182" fontId="7" fillId="13" borderId="0" xfId="0" applyNumberFormat="1" applyFont="1" applyFill="1" applyAlignment="1">
      <alignment vertical="center"/>
    </xf>
    <xf numFmtId="0" fontId="78" fillId="0" borderId="0" xfId="39" applyFont="1" applyAlignment="1">
      <alignment horizontal="center" vertical="center"/>
    </xf>
    <xf numFmtId="181" fontId="78" fillId="0" borderId="0" xfId="40" applyNumberFormat="1" applyFont="1" applyAlignment="1">
      <alignment horizontal="right" vertical="center" wrapText="1"/>
    </xf>
    <xf numFmtId="8" fontId="49" fillId="13" borderId="0" xfId="23" applyNumberFormat="1" applyFont="1" applyFill="1" applyAlignment="1">
      <alignment horizontal="right"/>
    </xf>
    <xf numFmtId="0" fontId="16" fillId="0" borderId="1" xfId="8" applyFont="1" applyBorder="1" applyAlignment="1" applyProtection="1">
      <alignment vertical="center"/>
      <protection locked="0"/>
    </xf>
    <xf numFmtId="0" fontId="15" fillId="0" borderId="1" xfId="8" applyFont="1" applyBorder="1" applyAlignment="1" applyProtection="1">
      <alignment vertical="center"/>
      <protection locked="0"/>
    </xf>
    <xf numFmtId="169" fontId="5" fillId="21" borderId="0" xfId="18" applyNumberFormat="1" applyFont="1" applyFill="1" applyProtection="1">
      <protection locked="0"/>
    </xf>
    <xf numFmtId="169" fontId="9" fillId="21" borderId="19" xfId="19" applyNumberFormat="1" applyFont="1" applyFill="1" applyBorder="1" applyAlignment="1" applyProtection="1">
      <alignment horizontal="right"/>
      <protection locked="0"/>
    </xf>
    <xf numFmtId="169" fontId="9" fillId="21" borderId="0" xfId="19" applyNumberFormat="1" applyFont="1" applyFill="1" applyAlignment="1" applyProtection="1">
      <alignment horizontal="right"/>
      <protection locked="0"/>
    </xf>
    <xf numFmtId="172" fontId="26" fillId="21" borderId="18" xfId="19" applyNumberFormat="1" applyFont="1" applyFill="1" applyBorder="1" applyAlignment="1" applyProtection="1">
      <alignment horizontal="right"/>
      <protection locked="0"/>
    </xf>
    <xf numFmtId="169" fontId="26" fillId="21" borderId="18" xfId="19" applyNumberFormat="1" applyFont="1" applyFill="1" applyBorder="1" applyAlignment="1" applyProtection="1">
      <alignment horizontal="right"/>
      <protection locked="0"/>
    </xf>
    <xf numFmtId="0" fontId="5" fillId="21" borderId="0" xfId="18" applyNumberFormat="1" applyFont="1" applyFill="1" applyProtection="1">
      <protection locked="0"/>
    </xf>
    <xf numFmtId="43" fontId="5" fillId="21" borderId="0" xfId="18" applyFont="1" applyFill="1" applyProtection="1">
      <protection locked="0"/>
    </xf>
    <xf numFmtId="167" fontId="5" fillId="21" borderId="0" xfId="15" applyNumberFormat="1" applyFont="1" applyFill="1" applyAlignment="1" applyProtection="1">
      <alignment horizontal="right"/>
      <protection locked="0"/>
    </xf>
    <xf numFmtId="43" fontId="5" fillId="21" borderId="0" xfId="20" applyFont="1" applyFill="1" applyProtection="1">
      <protection locked="0"/>
    </xf>
    <xf numFmtId="0" fontId="78" fillId="0" borderId="0" xfId="40" applyFont="1" applyAlignment="1">
      <alignment horizontal="left" vertical="center" indent="1"/>
    </xf>
    <xf numFmtId="0" fontId="72" fillId="0" borderId="0" xfId="38" applyFont="1" applyAlignment="1">
      <alignment horizontal="left" vertical="center" indent="1"/>
    </xf>
    <xf numFmtId="0" fontId="83" fillId="0" borderId="36" xfId="38" applyFont="1" applyBorder="1" applyAlignment="1">
      <alignment horizontal="left" vertical="center" indent="1"/>
    </xf>
    <xf numFmtId="0" fontId="78" fillId="0" borderId="0" xfId="38" applyFont="1" applyAlignment="1">
      <alignment horizontal="left" vertical="center" indent="1"/>
    </xf>
    <xf numFmtId="0" fontId="78" fillId="0" borderId="0" xfId="41" applyFont="1" applyAlignment="1">
      <alignment horizontal="left" vertical="center" indent="1"/>
    </xf>
    <xf numFmtId="0" fontId="81" fillId="0" borderId="0" xfId="39" applyFont="1" applyAlignment="1">
      <alignment horizontal="left" vertical="center" indent="1"/>
    </xf>
    <xf numFmtId="0" fontId="78" fillId="0" borderId="0" xfId="39" quotePrefix="1" applyFont="1" applyAlignment="1">
      <alignment horizontal="left" vertical="center" indent="1"/>
    </xf>
    <xf numFmtId="0" fontId="82" fillId="0" borderId="0" xfId="39" quotePrefix="1" applyFont="1" applyAlignment="1">
      <alignment horizontal="left" vertical="center" indent="1"/>
    </xf>
    <xf numFmtId="0" fontId="51" fillId="7" borderId="30" xfId="23" applyFont="1" applyFill="1" applyBorder="1"/>
    <xf numFmtId="0" fontId="52" fillId="7" borderId="30" xfId="23" applyFont="1" applyFill="1" applyBorder="1" applyAlignment="1">
      <alignment horizontal="center"/>
    </xf>
    <xf numFmtId="180" fontId="51" fillId="7" borderId="30" xfId="23" applyNumberFormat="1" applyFont="1" applyFill="1" applyBorder="1" applyAlignment="1">
      <alignment horizontal="right"/>
    </xf>
    <xf numFmtId="0" fontId="49" fillId="7" borderId="0" xfId="23" applyFont="1" applyFill="1"/>
    <xf numFmtId="0" fontId="90" fillId="7" borderId="30" xfId="23" applyFont="1" applyFill="1" applyBorder="1" applyAlignment="1">
      <alignment horizontal="center"/>
    </xf>
    <xf numFmtId="0" fontId="51" fillId="3" borderId="0" xfId="23" applyFont="1" applyFill="1"/>
    <xf numFmtId="0" fontId="51" fillId="3" borderId="0" xfId="23" applyFont="1" applyFill="1" applyAlignment="1">
      <alignment horizontal="center"/>
    </xf>
    <xf numFmtId="0" fontId="63" fillId="10" borderId="0" xfId="0" applyFont="1" applyFill="1" applyAlignment="1">
      <alignment horizontal="center"/>
    </xf>
    <xf numFmtId="0" fontId="91" fillId="0" borderId="31" xfId="0" applyFont="1" applyBorder="1" applyAlignment="1">
      <alignment horizontal="left" vertical="center" indent="1"/>
    </xf>
    <xf numFmtId="0" fontId="0" fillId="0" borderId="31" xfId="0" applyBorder="1" applyAlignment="1">
      <alignment horizontal="left" vertical="center" indent="2"/>
    </xf>
    <xf numFmtId="0" fontId="0" fillId="0" borderId="31" xfId="0" applyBorder="1" applyAlignment="1">
      <alignment horizontal="left" vertical="center" indent="3"/>
    </xf>
    <xf numFmtId="0" fontId="58" fillId="0" borderId="31" xfId="0" applyFont="1" applyBorder="1" applyAlignment="1">
      <alignment horizontal="left" vertical="center" indent="1"/>
    </xf>
    <xf numFmtId="0" fontId="0" fillId="0" borderId="31" xfId="0" applyBorder="1" applyAlignment="1">
      <alignment horizontal="left" vertical="center" indent="1"/>
    </xf>
    <xf numFmtId="4" fontId="0" fillId="0" borderId="0" xfId="0" applyNumberFormat="1" applyAlignment="1">
      <alignment horizontal="right" vertical="center"/>
    </xf>
    <xf numFmtId="4" fontId="0" fillId="0" borderId="31" xfId="0" applyNumberFormat="1" applyBorder="1" applyAlignment="1">
      <alignment horizontal="right" vertical="center"/>
    </xf>
    <xf numFmtId="3" fontId="0" fillId="0" borderId="0" xfId="0" applyNumberFormat="1" applyAlignment="1">
      <alignment horizontal="right" vertical="center"/>
    </xf>
    <xf numFmtId="3" fontId="0" fillId="0" borderId="31" xfId="0" applyNumberFormat="1" applyBorder="1" applyAlignment="1">
      <alignment horizontal="right" vertical="center"/>
    </xf>
    <xf numFmtId="167" fontId="0" fillId="0" borderId="0" xfId="0" applyNumberFormat="1"/>
    <xf numFmtId="187" fontId="0" fillId="0" borderId="32" xfId="0" applyNumberFormat="1" applyBorder="1" applyAlignment="1">
      <alignment horizontal="right" vertical="center"/>
    </xf>
    <xf numFmtId="167" fontId="0" fillId="0" borderId="31" xfId="0" applyNumberFormat="1" applyBorder="1"/>
    <xf numFmtId="167" fontId="16" fillId="4" borderId="0" xfId="0" applyNumberFormat="1" applyFont="1" applyFill="1" applyAlignment="1">
      <alignment horizontal="center" vertical="center"/>
    </xf>
    <xf numFmtId="168" fontId="16" fillId="8" borderId="0" xfId="24" applyNumberFormat="1" applyFont="1" applyFill="1" applyAlignment="1" applyProtection="1">
      <alignment horizontal="center" vertical="center"/>
    </xf>
    <xf numFmtId="167" fontId="16" fillId="8" borderId="0" xfId="0" applyNumberFormat="1" applyFont="1" applyFill="1" applyAlignment="1">
      <alignment horizontal="center" vertical="center"/>
    </xf>
    <xf numFmtId="168" fontId="5" fillId="4" borderId="0" xfId="24" applyNumberFormat="1" applyFont="1" applyFill="1" applyAlignment="1" applyProtection="1">
      <alignment horizontal="center" vertical="center"/>
    </xf>
    <xf numFmtId="167" fontId="5" fillId="4" borderId="0" xfId="24" applyNumberFormat="1" applyFont="1" applyFill="1" applyAlignment="1" applyProtection="1">
      <alignment horizontal="center" vertical="center"/>
    </xf>
    <xf numFmtId="0" fontId="63" fillId="22" borderId="0" xfId="0" applyFont="1" applyFill="1" applyAlignment="1">
      <alignment horizontal="center"/>
    </xf>
    <xf numFmtId="0" fontId="63" fillId="23" borderId="0" xfId="0" applyFont="1" applyFill="1" applyAlignment="1">
      <alignment horizontal="center"/>
    </xf>
    <xf numFmtId="0" fontId="3" fillId="23" borderId="0" xfId="0" applyFont="1" applyFill="1" applyAlignment="1">
      <alignment horizontal="center"/>
    </xf>
    <xf numFmtId="0" fontId="64" fillId="0" borderId="0" xfId="0" applyFont="1" applyAlignment="1">
      <alignment horizontal="left" indent="1"/>
    </xf>
    <xf numFmtId="0" fontId="64" fillId="0" borderId="33" xfId="0" applyFont="1" applyBorder="1" applyAlignment="1">
      <alignment horizontal="left" indent="1"/>
    </xf>
    <xf numFmtId="0" fontId="32" fillId="24" borderId="0" xfId="0" applyFont="1" applyFill="1"/>
    <xf numFmtId="1" fontId="31" fillId="0" borderId="0" xfId="0" applyNumberFormat="1" applyFont="1" applyAlignment="1">
      <alignment horizontal="left" vertical="center" indent="3"/>
    </xf>
    <xf numFmtId="1" fontId="92" fillId="0" borderId="0" xfId="0" applyNumberFormat="1" applyFont="1" applyAlignment="1">
      <alignment horizontal="left" vertical="center" indent="1"/>
    </xf>
    <xf numFmtId="176" fontId="36" fillId="0" borderId="0" xfId="0" applyNumberFormat="1" applyFont="1"/>
    <xf numFmtId="10" fontId="40" fillId="0" borderId="0" xfId="0" applyNumberFormat="1" applyFont="1"/>
    <xf numFmtId="167" fontId="40" fillId="0" borderId="0" xfId="0" applyNumberFormat="1" applyFont="1"/>
    <xf numFmtId="167" fontId="41" fillId="0" borderId="0" xfId="0" applyNumberFormat="1" applyFont="1"/>
    <xf numFmtId="168" fontId="40" fillId="15" borderId="0" xfId="0" applyNumberFormat="1" applyFont="1" applyFill="1"/>
    <xf numFmtId="168" fontId="35" fillId="15" borderId="0" xfId="0" applyNumberFormat="1" applyFont="1" applyFill="1"/>
    <xf numFmtId="168" fontId="40" fillId="0" borderId="0" xfId="0" quotePrefix="1" applyNumberFormat="1" applyFont="1" applyAlignment="1">
      <alignment horizontal="right"/>
    </xf>
    <xf numFmtId="0" fontId="40" fillId="0" borderId="0" xfId="0" quotePrefix="1" applyFont="1" applyAlignment="1">
      <alignment horizontal="left" indent="3"/>
    </xf>
    <xf numFmtId="168" fontId="40" fillId="0" borderId="0" xfId="0" quotePrefix="1" applyNumberFormat="1" applyFont="1" applyAlignment="1">
      <alignment horizontal="center"/>
    </xf>
    <xf numFmtId="2" fontId="40" fillId="0" borderId="0" xfId="0" quotePrefix="1" applyNumberFormat="1" applyFont="1"/>
    <xf numFmtId="1" fontId="32" fillId="0" borderId="0" xfId="0" applyNumberFormat="1" applyFont="1" applyAlignment="1">
      <alignment horizontal="left" vertical="center" indent="4"/>
    </xf>
    <xf numFmtId="1" fontId="70" fillId="0" borderId="0" xfId="0" applyNumberFormat="1" applyFont="1" applyAlignment="1">
      <alignment horizontal="left" vertical="center" indent="2"/>
    </xf>
    <xf numFmtId="168" fontId="70" fillId="0" borderId="0" xfId="0" applyNumberFormat="1" applyFont="1"/>
    <xf numFmtId="4" fontId="34" fillId="0" borderId="0" xfId="0" applyNumberFormat="1" applyFont="1"/>
    <xf numFmtId="168" fontId="36" fillId="25" borderId="0" xfId="0" applyNumberFormat="1" applyFont="1" applyFill="1"/>
    <xf numFmtId="10" fontId="36" fillId="16" borderId="0" xfId="0" applyNumberFormat="1" applyFont="1" applyFill="1"/>
    <xf numFmtId="0" fontId="32" fillId="0" borderId="0" xfId="0" quotePrefix="1" applyFont="1" applyAlignment="1">
      <alignment horizontal="left" indent="4"/>
    </xf>
    <xf numFmtId="1" fontId="38" fillId="0" borderId="0" xfId="0" applyNumberFormat="1" applyFont="1" applyAlignment="1">
      <alignment horizontal="left" vertical="center" indent="1"/>
    </xf>
    <xf numFmtId="17" fontId="36" fillId="0" borderId="26" xfId="0" applyNumberFormat="1" applyFont="1" applyBorder="1" applyAlignment="1">
      <alignment horizontal="center"/>
    </xf>
    <xf numFmtId="0" fontId="33" fillId="19" borderId="24" xfId="22" applyFont="1" applyFill="1" applyBorder="1" applyAlignment="1">
      <alignment horizontal="center" vertical="center"/>
    </xf>
    <xf numFmtId="0" fontId="33" fillId="19" borderId="25" xfId="22" applyFont="1" applyFill="1" applyBorder="1" applyAlignment="1">
      <alignment horizontal="center" vertical="center"/>
    </xf>
    <xf numFmtId="0" fontId="70" fillId="0" borderId="0" xfId="0" applyFont="1"/>
    <xf numFmtId="0" fontId="31" fillId="0" borderId="0" xfId="0" applyFont="1" applyAlignment="1">
      <alignment horizontal="left" indent="4"/>
    </xf>
    <xf numFmtId="0" fontId="70" fillId="0" borderId="0" xfId="0" applyFont="1" applyAlignment="1">
      <alignment horizontal="center"/>
    </xf>
    <xf numFmtId="167" fontId="70" fillId="0" borderId="0" xfId="0" applyNumberFormat="1" applyFont="1"/>
    <xf numFmtId="168" fontId="70" fillId="0" borderId="0" xfId="1" applyNumberFormat="1" applyFont="1"/>
    <xf numFmtId="168" fontId="50" fillId="0" borderId="0" xfId="23" applyNumberFormat="1" applyFont="1"/>
    <xf numFmtId="168" fontId="50" fillId="13" borderId="0" xfId="23" applyNumberFormat="1" applyFont="1" applyFill="1" applyAlignment="1">
      <alignment horizontal="left" indent="1"/>
    </xf>
    <xf numFmtId="168" fontId="40" fillId="0" borderId="0" xfId="0" applyNumberFormat="1" applyFont="1" applyAlignment="1">
      <alignment horizontal="center" vertical="center"/>
    </xf>
    <xf numFmtId="168" fontId="40" fillId="0" borderId="0" xfId="0" applyNumberFormat="1" applyFont="1" applyAlignment="1">
      <alignment horizontal="left" vertical="center" indent="2"/>
    </xf>
    <xf numFmtId="168" fontId="50" fillId="13" borderId="0" xfId="23" applyNumberFormat="1" applyFont="1" applyFill="1"/>
    <xf numFmtId="1" fontId="69" fillId="0" borderId="0" xfId="0" applyNumberFormat="1" applyFont="1" applyAlignment="1">
      <alignment horizontal="left" vertical="center" indent="1"/>
    </xf>
    <xf numFmtId="4" fontId="50" fillId="13" borderId="0" xfId="23" applyNumberFormat="1" applyFont="1" applyFill="1" applyAlignment="1">
      <alignment horizontal="right"/>
    </xf>
    <xf numFmtId="4" fontId="49" fillId="13" borderId="0" xfId="23" applyNumberFormat="1" applyFont="1" applyFill="1" applyAlignment="1">
      <alignment horizontal="right"/>
    </xf>
    <xf numFmtId="0" fontId="83" fillId="0" borderId="0" xfId="40" applyFont="1" applyAlignment="1">
      <alignment vertical="center"/>
    </xf>
    <xf numFmtId="0" fontId="16" fillId="24" borderId="1" xfId="8" applyFont="1" applyFill="1" applyBorder="1" applyAlignment="1" applyProtection="1">
      <alignment vertical="center"/>
      <protection locked="0"/>
    </xf>
    <xf numFmtId="169" fontId="5" fillId="24" borderId="0" xfId="18" applyNumberFormat="1" applyFont="1" applyFill="1" applyProtection="1">
      <protection locked="0"/>
    </xf>
    <xf numFmtId="169" fontId="5" fillId="24" borderId="18" xfId="19" applyNumberFormat="1" applyFont="1" applyFill="1" applyBorder="1" applyAlignment="1" applyProtection="1">
      <alignment horizontal="right"/>
      <protection locked="0"/>
    </xf>
    <xf numFmtId="0" fontId="16" fillId="0" borderId="1" xfId="8" applyFont="1" applyBorder="1" applyAlignment="1" applyProtection="1">
      <alignment horizontal="left"/>
      <protection locked="0"/>
    </xf>
    <xf numFmtId="4" fontId="32" fillId="0" borderId="0" xfId="0" applyNumberFormat="1" applyFont="1" applyAlignment="1">
      <alignment horizontal="center"/>
    </xf>
    <xf numFmtId="3" fontId="39" fillId="0" borderId="0" xfId="0" applyNumberFormat="1" applyFont="1"/>
    <xf numFmtId="168" fontId="93" fillId="20" borderId="0" xfId="0" applyNumberFormat="1" applyFont="1" applyFill="1"/>
    <xf numFmtId="10" fontId="36" fillId="16" borderId="0" xfId="1" applyNumberFormat="1" applyFont="1" applyFill="1"/>
    <xf numFmtId="0" fontId="94" fillId="0" borderId="0" xfId="0" applyFont="1"/>
    <xf numFmtId="0" fontId="95" fillId="0" borderId="0" xfId="0" applyFont="1"/>
    <xf numFmtId="168" fontId="94" fillId="0" borderId="0" xfId="0" applyNumberFormat="1" applyFont="1"/>
    <xf numFmtId="1" fontId="96" fillId="0" borderId="0" xfId="0" applyNumberFormat="1" applyFont="1"/>
    <xf numFmtId="168" fontId="96" fillId="0" borderId="0" xfId="0" applyNumberFormat="1" applyFont="1"/>
    <xf numFmtId="168" fontId="95" fillId="0" borderId="0" xfId="0" applyNumberFormat="1" applyFont="1"/>
    <xf numFmtId="0" fontId="51" fillId="26" borderId="0" xfId="23" applyFont="1" applyFill="1" applyAlignment="1">
      <alignment horizontal="center"/>
    </xf>
    <xf numFmtId="0" fontId="51" fillId="26" borderId="0" xfId="23" applyFont="1" applyFill="1"/>
    <xf numFmtId="0" fontId="97" fillId="26" borderId="0" xfId="23" applyFont="1" applyFill="1" applyAlignment="1">
      <alignment horizontal="left"/>
    </xf>
    <xf numFmtId="0" fontId="51" fillId="26" borderId="0" xfId="23" applyFont="1" applyFill="1" applyAlignment="1">
      <alignment horizontal="left" indent="1"/>
    </xf>
    <xf numFmtId="168" fontId="51" fillId="26" borderId="0" xfId="23" applyNumberFormat="1" applyFont="1" applyFill="1" applyAlignment="1">
      <alignment horizontal="right"/>
    </xf>
    <xf numFmtId="188" fontId="98" fillId="0" borderId="0" xfId="0" applyNumberFormat="1" applyFont="1"/>
    <xf numFmtId="189" fontId="36" fillId="0" borderId="0" xfId="0" applyNumberFormat="1" applyFont="1" applyAlignment="1">
      <alignment horizontal="center"/>
    </xf>
    <xf numFmtId="188" fontId="36" fillId="0" borderId="0" xfId="0" applyNumberFormat="1" applyFont="1" applyAlignment="1">
      <alignment horizontal="center"/>
    </xf>
    <xf numFmtId="190" fontId="38" fillId="8" borderId="29" xfId="0" applyNumberFormat="1" applyFont="1" applyFill="1" applyBorder="1" applyAlignment="1">
      <alignment horizontal="center"/>
    </xf>
    <xf numFmtId="0" fontId="0" fillId="0" borderId="0" xfId="0" applyAlignment="1">
      <alignment horizontal="right"/>
    </xf>
    <xf numFmtId="168" fontId="44" fillId="17" borderId="0" xfId="0" applyNumberFormat="1" applyFont="1" applyFill="1"/>
    <xf numFmtId="1" fontId="44" fillId="0" borderId="0" xfId="0" applyNumberFormat="1" applyFont="1" applyAlignment="1">
      <alignment horizontal="left" vertical="center" indent="2"/>
    </xf>
    <xf numFmtId="3" fontId="44" fillId="0" borderId="0" xfId="0" applyNumberFormat="1" applyFont="1" applyAlignment="1">
      <alignment horizontal="center"/>
    </xf>
    <xf numFmtId="0" fontId="44" fillId="0" borderId="0" xfId="0" applyFont="1"/>
    <xf numFmtId="168" fontId="34" fillId="15" borderId="0" xfId="0" applyNumberFormat="1" applyFont="1" applyFill="1"/>
    <xf numFmtId="168" fontId="31" fillId="0" borderId="0" xfId="0" applyNumberFormat="1" applyFont="1" applyAlignment="1">
      <alignment horizontal="left" indent="2"/>
    </xf>
    <xf numFmtId="168" fontId="34" fillId="4" borderId="0" xfId="0" applyNumberFormat="1" applyFont="1" applyFill="1"/>
    <xf numFmtId="0" fontId="49" fillId="27" borderId="0" xfId="23" applyFont="1" applyFill="1" applyAlignment="1">
      <alignment horizontal="left"/>
    </xf>
    <xf numFmtId="0" fontId="50" fillId="27" borderId="0" xfId="23" applyFont="1" applyFill="1" applyAlignment="1">
      <alignment horizontal="left"/>
    </xf>
    <xf numFmtId="191" fontId="49" fillId="27" borderId="0" xfId="23" applyNumberFormat="1" applyFont="1" applyFill="1" applyAlignment="1">
      <alignment horizontal="right"/>
    </xf>
    <xf numFmtId="191" fontId="50" fillId="27" borderId="0" xfId="23" applyNumberFormat="1" applyFont="1" applyFill="1" applyAlignment="1">
      <alignment horizontal="right"/>
    </xf>
    <xf numFmtId="192" fontId="49" fillId="27" borderId="0" xfId="23" applyNumberFormat="1" applyFont="1" applyFill="1" applyAlignment="1">
      <alignment horizontal="right"/>
    </xf>
    <xf numFmtId="168" fontId="99" fillId="0" borderId="0" xfId="0" applyNumberFormat="1" applyFont="1"/>
    <xf numFmtId="3" fontId="41" fillId="0" borderId="0" xfId="0" applyNumberFormat="1" applyFont="1"/>
    <xf numFmtId="193" fontId="40" fillId="0" borderId="0" xfId="0" applyNumberFormat="1" applyFont="1"/>
    <xf numFmtId="168" fontId="43" fillId="17" borderId="0" xfId="0" applyNumberFormat="1" applyFont="1" applyFill="1"/>
    <xf numFmtId="194" fontId="5" fillId="24" borderId="1" xfId="8" applyNumberFormat="1" applyFont="1" applyFill="1" applyBorder="1" applyAlignment="1" applyProtection="1">
      <alignment horizontal="left"/>
      <protection locked="0"/>
    </xf>
    <xf numFmtId="0" fontId="102" fillId="3" borderId="0" xfId="0" applyFont="1" applyFill="1" applyAlignment="1">
      <alignment vertical="center"/>
    </xf>
    <xf numFmtId="0" fontId="10" fillId="3" borderId="0" xfId="22" applyFont="1" applyFill="1" applyAlignment="1">
      <alignment horizontal="center" vertical="center"/>
    </xf>
    <xf numFmtId="0" fontId="103" fillId="0" borderId="0" xfId="0" applyFont="1" applyAlignment="1">
      <alignment vertical="center"/>
    </xf>
    <xf numFmtId="168" fontId="5" fillId="0" borderId="0" xfId="0" applyNumberFormat="1" applyFont="1"/>
    <xf numFmtId="188" fontId="5" fillId="0" borderId="0" xfId="0" applyNumberFormat="1" applyFont="1"/>
  </cellXfs>
  <cellStyles count="50">
    <cellStyle name="_Capital CSL template" xfId="40" xr:uid="{00000000-0005-0000-0000-000029000000}"/>
    <cellStyle name="_Capital CSL template 2" xfId="41" xr:uid="{00000000-0005-0000-0000-00002A000000}"/>
    <cellStyle name="Comma" xfId="1" builtinId="3"/>
    <cellStyle name="Comma 12" xfId="46" xr:uid="{00000000-0005-0000-0000-00002F000000}"/>
    <cellStyle name="Comma 2" xfId="27" xr:uid="{00000000-0005-0000-0000-00001C000000}"/>
    <cellStyle name="Comma 3" xfId="34" xr:uid="{00000000-0005-0000-0000-000023000000}"/>
    <cellStyle name="Comma 3 6" xfId="20" xr:uid="{00000000-0005-0000-0000-000014000000}"/>
    <cellStyle name="Comma 4" xfId="32" xr:uid="{00000000-0005-0000-0000-000021000000}"/>
    <cellStyle name="Comma_ACE-IN 2" xfId="19" xr:uid="{00000000-0005-0000-0000-000013000000}"/>
    <cellStyle name="Comma_Financial ResearchWise Sheet1 2" xfId="18" xr:uid="{00000000-0005-0000-0000-000012000000}"/>
    <cellStyle name="Comma_SSEML" xfId="16" xr:uid="{00000000-0005-0000-0000-000010000000}"/>
    <cellStyle name="Hyperlink 2" xfId="44" xr:uid="{00000000-0005-0000-0000-00002D000000}"/>
    <cellStyle name="Hyperlink 7" xfId="11" xr:uid="{00000000-0005-0000-0000-00000B000000}"/>
    <cellStyle name="Normal" xfId="0" builtinId="0"/>
    <cellStyle name="Normal 107" xfId="9" xr:uid="{00000000-0005-0000-0000-000009000000}"/>
    <cellStyle name="Normal 107 2" xfId="10" xr:uid="{00000000-0005-0000-0000-00000A000000}"/>
    <cellStyle name="Normal 19 2 3" xfId="48" xr:uid="{00000000-0005-0000-0000-000031000000}"/>
    <cellStyle name="Normal 2" xfId="23" xr:uid="{00000000-0005-0000-0000-000017000000}"/>
    <cellStyle name="Normal 2 10 2" xfId="12" xr:uid="{00000000-0005-0000-0000-00000C000000}"/>
    <cellStyle name="Normal 2 2" xfId="38" xr:uid="{00000000-0005-0000-0000-000027000000}"/>
    <cellStyle name="Normal 25 2 2 3" xfId="25" xr:uid="{00000000-0005-0000-0000-000019000000}"/>
    <cellStyle name="Normal 3" xfId="26" xr:uid="{00000000-0005-0000-0000-00001B000000}"/>
    <cellStyle name="Normal 3 14" xfId="4" xr:uid="{00000000-0005-0000-0000-000004000000}"/>
    <cellStyle name="Normal 3 2" xfId="33" xr:uid="{00000000-0005-0000-0000-000022000000}"/>
    <cellStyle name="Normal 3 3" xfId="37" xr:uid="{00000000-0005-0000-0000-000026000000}"/>
    <cellStyle name="Normal 3 4" xfId="43" xr:uid="{00000000-0005-0000-0000-00002C000000}"/>
    <cellStyle name="Normal 4" xfId="30" xr:uid="{00000000-0005-0000-0000-00001F000000}"/>
    <cellStyle name="Normal 41" xfId="49" xr:uid="{00000000-0005-0000-0000-000032000000}"/>
    <cellStyle name="Normal 5" xfId="24" xr:uid="{00000000-0005-0000-0000-000018000000}"/>
    <cellStyle name="Normal 5 2" xfId="39" xr:uid="{00000000-0005-0000-0000-000028000000}"/>
    <cellStyle name="Normal 6" xfId="29" xr:uid="{00000000-0005-0000-0000-00001E000000}"/>
    <cellStyle name="Normal 6 34" xfId="45" xr:uid="{00000000-0005-0000-0000-00002E000000}"/>
    <cellStyle name="Normal 8" xfId="31" xr:uid="{00000000-0005-0000-0000-000020000000}"/>
    <cellStyle name="Normal 8 3" xfId="36" xr:uid="{00000000-0005-0000-0000-000025000000}"/>
    <cellStyle name="Normal_ACE-IN 2" xfId="13" xr:uid="{00000000-0005-0000-0000-00000D000000}"/>
    <cellStyle name="Normal_ACE-IN_ELECmay 2" xfId="7" xr:uid="{00000000-0005-0000-0000-000007000000}"/>
    <cellStyle name="Normal_Dumpsheet" xfId="3" xr:uid="{00000000-0005-0000-0000-000003000000}"/>
    <cellStyle name="Normal_ELECmay" xfId="8" xr:uid="{00000000-0005-0000-0000-000008000000}"/>
    <cellStyle name="Normal_Financial ResearchWise Sheet1 2" xfId="5" xr:uid="{00000000-0005-0000-0000-000005000000}"/>
    <cellStyle name="Normal_Industrial ResearchWise Sheet 17March2009 2" xfId="6" xr:uid="{00000000-0005-0000-0000-000006000000}"/>
    <cellStyle name="Normal_Sheet1_Financial ResearchWise Sheet1 2" xfId="14" xr:uid="{00000000-0005-0000-0000-00000E000000}"/>
    <cellStyle name="Normal_SSEML" xfId="17" xr:uid="{00000000-0005-0000-0000-000011000000}"/>
    <cellStyle name="Per cent 2" xfId="42" xr:uid="{00000000-0005-0000-0000-00002B000000}"/>
    <cellStyle name="Percent" xfId="2" builtinId="5"/>
    <cellStyle name="Percent 14" xfId="47" xr:uid="{00000000-0005-0000-0000-000030000000}"/>
    <cellStyle name="Percent 2" xfId="28" xr:uid="{00000000-0005-0000-0000-00001D000000}"/>
    <cellStyle name="Percent 2 2 3" xfId="21" xr:uid="{00000000-0005-0000-0000-000015000000}"/>
    <cellStyle name="Percent 3" xfId="35" xr:uid="{00000000-0005-0000-0000-000024000000}"/>
    <cellStyle name="Percent 35 2" xfId="15" xr:uid="{00000000-0005-0000-0000-00000F000000}"/>
    <cellStyle name="Style 1" xfId="22" xr:uid="{00000000-0005-0000-0000-000016000000}"/>
  </cellStyles>
  <dxfs count="0"/>
  <tableStyles count="1" defaultTableStyle="TableStyleMedium2" defaultPivotStyle="PivotStyleLight16">
    <tableStyle name="Invisible" pivot="0" table="0" count="0" xr9:uid="{00000000-0011-0000-FFFF-FFFF00000000}"/>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microsoft.com/office/2017/06/relationships/rdSupportingPropertyBag" Target="richData/rdsupportingpropertybag.xml"/><Relationship Id="rId21" Type="http://schemas.openxmlformats.org/officeDocument/2006/relationships/externalLink" Target="externalLinks/externalLink8.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tyles" Target="styles.xml"/><Relationship Id="rId37" Type="http://schemas.microsoft.com/office/2017/06/relationships/richStyles" Target="richData/richStyles.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sharedStrings" Target="sharedStrings.xml"/><Relationship Id="rId38" Type="http://schemas.microsoft.com/office/2017/06/relationships/rdSupportingPropertyBagStructure" Target="richData/rdsupportingpropertybagstructur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
  <rv s="0">
    <v>https://www.bing.com/financeapi/forcetrigger?t=c2f2ww&amp;q=XASX%3aBBT&amp;form=skydnc</v>
    <v>Learn more on Bing</v>
  </rv>
  <rv s="1">
    <v>en-AU</v>
    <v>c2f2ww</v>
    <v>268435456</v>
    <v>1</v>
    <v>Powered by Refinitiv</v>
    <v>0</v>
    <v>BETR ENTERTAINMENT LIMITED (XASX:BBT)</v>
    <v>2</v>
    <v>3</v>
    <v>Finance</v>
    <v>4</v>
    <v>0.30499999999999999</v>
    <v>0.155</v>
    <v>1.1666000000000001</v>
    <v>0</v>
    <v>0</v>
    <v>AUD</v>
    <v>betr Entertainment Limited, formerly BlueBet Holdings Limited, is a pure-play digital wagering operator focusing solely on the Australian wagering market. The Company is engaged in offering sports and racing betting products and services to online and telephone clients through its advanced online wagering platform and mobile applications. The Company is powered by a highly scalable proprietary cloud-based technology platform that can also be delivered as a white-labelled technology solution for business to business (B2B) partners. The betr brand offers betting services for various sporting events, including American football, Australian rules, baseball, basketball, cricket, golf, ice hockey, motor racing, rugby league, rugby union, soccer, tennis, and others. Its product line includes horse racing, greyhound racing, and harness racing, among others.</v>
    <v>Australian Securities Exchange</v>
    <v>XASX</v>
    <v>XASX</v>
    <v>9/8 Spring Street, SYDNEY, NEW SOUTH WALES, 2000 AU</v>
    <v>0.19500000000000001</v>
    <v>Software &amp; IT Services</v>
    <v>Stock</v>
    <v>46258.268425925926</v>
    <v>0</v>
    <v>0.19</v>
    <v>204029700</v>
    <v>BETR ENTERTAINMENT LIMITED</v>
    <v>BETR ENTERTAINMENT LIMITED</v>
    <v>0.19500000000000001</v>
    <v>0.19500000000000001</v>
    <v>0.19500000000000001</v>
    <v>1046306000</v>
    <v>BBT</v>
    <v>BETR ENTERTAINMENT LIMITED (XASX:BBT)</v>
    <v>821563</v>
    <v>229950</v>
    <v>2021</v>
  </rv>
  <rv s="2">
    <v>1</v>
  </rv>
  <rv s="3">
    <v>12</v>
    <v>Market cap</v>
    <v>0</v>
  </rv>
  <rv s="3">
    <v>12</v>
    <v>P/E</v>
    <v>0</v>
  </rv>
  <rv s="3">
    <v>12</v>
    <v>Shares outstanding</v>
    <v>0</v>
  </rv>
  <rv s="3">
    <v>12</v>
    <v>Price</v>
    <v>0</v>
  </rv>
  <rv s="4">
    <v>12</v>
    <v>1</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error">
    <k n="errorType" t="i"/>
    <k n="field" t="s"/>
    <k n="subType" t="i"/>
  </s>
  <s t="_error">
    <k n="errorType" t="i"/>
    <k n="propagated" t="b"/>
  </s>
</rvStructures>
</file>

<file path=xl/richData/rdsupportingpropertybag.xml><?xml version="1.0" encoding="utf-8"?>
<supportingPropertyBags xmlns="http://schemas.microsoft.com/office/spreadsheetml/2017/richdata2">
  <spbArrays count="1">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5</v>
      <v>6</v>
      <v>1</v>
      <v>1</v>
      <v>1</v>
      <v>4</v>
      <v>7</v>
      <v>8</v>
      <v>9</v>
      <v>4</v>
    </spb>
    <spb s="4">
      <v>Delayed 20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_-[$$-en-AU]* #,##0.00_-;-[$$-en-AU]* #,##0.00_-;_-[$$-en-AU]* "-"??_-;_-@_-</rpv>
    </rSty>
    <rSty dxfid="5">
      <rpv i="0">#,##0.00</rpv>
    </rSty>
    <rSty>
      <rpv i="1">1</rpv>
    </rSty>
    <rSty dxfid="4">
      <rpv i="0">#,##0</rpv>
    </rSty>
    <rSty dxfid="3"/>
    <rSty dxfid="1">
      <rpv i="0">_-[$$-en-AU]* #,##0_-;-[$$-en-AU]* #,##0_-;_-[$$-en-AU]* "-"_-;_-@_-</rpv>
    </rSty>
    <rSty dxfid="2"/>
    <rSty dxfid="6">
      <rpv i="0">0</rpv>
    </rSty>
    <rSty dxfid="0">
      <rpv i="0">0.00</rpv>
    </rSty>
  </richStyles>
</richStyleSheet>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46BF67-D7C2-4AB9-888C-51B2FC0BC111}">
  <we:reference id="29673e3c-d826-4f00-92ee-162334a52b1a" version="1.0.0.8" store="EXCatalog" storeType="EXCatalog"/>
  <we:alternateReferences>
    <we:reference id="WA200009404" version="1.0.0.8" store="en-US" storeType="OMEX"/>
  </we:alternateReferences>
  <we:properties>
    <we:property name="claude.fileId" value="&quot;22bdd54b-ee51-4d83-8e49-b391e762cc3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autoPageBreaks="0"/>
  </sheetPr>
  <dimension ref="A1:AJ28"/>
  <sheetViews>
    <sheetView showGridLines="0" zoomScaleNormal="100" workbookViewId="0">
      <selection activeCell="V12" sqref="V12"/>
    </sheetView>
  </sheetViews>
  <sheetFormatPr defaultColWidth="9.140625" defaultRowHeight="12.75" outlineLevelRow="1" x14ac:dyDescent="0.2"/>
  <cols>
    <col min="1" max="1" width="2.5703125" style="453" customWidth="1"/>
    <col min="2" max="5" width="9.5703125" style="453" customWidth="1"/>
    <col min="6" max="6" width="2.42578125" style="453" customWidth="1"/>
    <col min="7" max="14" width="9.5703125" style="453" customWidth="1"/>
    <col min="15" max="15" width="2.42578125" style="453" customWidth="1"/>
    <col min="16" max="19" width="9.5703125" style="453" customWidth="1"/>
    <col min="20" max="20" width="9.140625" style="453" customWidth="1"/>
    <col min="21" max="16384" width="9.140625" style="453"/>
  </cols>
  <sheetData>
    <row r="1" spans="1:36" s="422" customFormat="1" x14ac:dyDescent="0.2">
      <c r="B1" s="423"/>
      <c r="D1" s="424"/>
      <c r="E1" s="424"/>
      <c r="F1" s="424"/>
      <c r="G1" s="424"/>
      <c r="H1" s="424"/>
      <c r="I1" s="424"/>
      <c r="J1" s="424"/>
      <c r="K1" s="424"/>
      <c r="L1" s="424"/>
      <c r="M1" s="424"/>
      <c r="N1" s="424"/>
      <c r="O1" s="423"/>
      <c r="P1" s="424"/>
      <c r="Q1" s="424"/>
      <c r="R1" s="424"/>
      <c r="S1" s="424"/>
    </row>
    <row r="2" spans="1:36" s="422" customFormat="1" ht="20.25" customHeight="1" x14ac:dyDescent="0.2">
      <c r="B2" s="454" t="s">
        <v>1318</v>
      </c>
      <c r="C2" s="455"/>
      <c r="D2" s="456"/>
      <c r="E2" s="456"/>
      <c r="F2" s="456"/>
      <c r="G2" s="456"/>
      <c r="H2" s="456"/>
      <c r="I2" s="456"/>
      <c r="J2" s="456"/>
      <c r="K2" s="456"/>
      <c r="L2" s="456"/>
      <c r="M2" s="456"/>
      <c r="N2" s="456"/>
      <c r="O2" s="457"/>
      <c r="P2" s="456"/>
      <c r="Q2" s="456"/>
      <c r="R2" s="456"/>
      <c r="S2" s="456"/>
    </row>
    <row r="3" spans="1:36" s="429" customFormat="1" ht="15" customHeight="1" x14ac:dyDescent="0.2">
      <c r="A3" s="425"/>
      <c r="B3" s="426" t="s">
        <v>378</v>
      </c>
      <c r="C3" s="427"/>
      <c r="D3" s="428"/>
      <c r="E3" s="428"/>
      <c r="F3" s="428"/>
      <c r="G3" s="428"/>
      <c r="H3" s="428"/>
      <c r="I3" s="428"/>
      <c r="J3" s="428"/>
      <c r="K3" s="428"/>
      <c r="L3" s="428"/>
      <c r="M3" s="428"/>
      <c r="N3" s="428"/>
      <c r="O3" s="428"/>
      <c r="P3" s="428"/>
      <c r="Q3" s="428"/>
      <c r="R3" s="428"/>
      <c r="S3" s="428"/>
      <c r="T3" s="422"/>
      <c r="U3" s="422"/>
      <c r="V3" s="422"/>
      <c r="W3" s="422"/>
      <c r="X3" s="422"/>
      <c r="Y3" s="422"/>
      <c r="Z3" s="422"/>
      <c r="AA3" s="422"/>
      <c r="AB3" s="422"/>
      <c r="AC3" s="422"/>
      <c r="AD3" s="422"/>
      <c r="AE3" s="422"/>
      <c r="AF3" s="422"/>
      <c r="AG3" s="422"/>
      <c r="AH3" s="422"/>
      <c r="AI3" s="422"/>
      <c r="AJ3" s="422"/>
    </row>
    <row r="4" spans="1:36" s="430" customFormat="1" ht="15" customHeight="1" thickBot="1" x14ac:dyDescent="0.3">
      <c r="B4" s="431"/>
      <c r="C4" s="431"/>
      <c r="D4" s="431"/>
      <c r="E4" s="431"/>
      <c r="F4" s="431"/>
      <c r="G4" s="431"/>
      <c r="H4" s="431"/>
      <c r="I4" s="431"/>
      <c r="J4" s="431"/>
      <c r="K4" s="431"/>
      <c r="L4" s="431"/>
      <c r="M4" s="431"/>
      <c r="N4" s="431"/>
      <c r="O4" s="431"/>
      <c r="P4" s="431"/>
      <c r="Q4" s="431"/>
      <c r="R4" s="431"/>
      <c r="S4" s="431"/>
    </row>
    <row r="5" spans="1:36" s="430" customFormat="1" ht="15" customHeight="1" x14ac:dyDescent="0.25">
      <c r="B5" s="432"/>
      <c r="C5" s="432"/>
      <c r="D5" s="433"/>
      <c r="E5" s="432"/>
      <c r="F5" s="434"/>
      <c r="G5" s="432"/>
      <c r="H5" s="433"/>
      <c r="I5" s="433"/>
      <c r="J5" s="433"/>
      <c r="K5" s="433"/>
      <c r="L5" s="433"/>
      <c r="M5" s="433"/>
      <c r="N5" s="433"/>
      <c r="O5" s="433"/>
      <c r="P5" s="432"/>
      <c r="Q5" s="433"/>
      <c r="R5" s="433"/>
      <c r="S5" s="433"/>
    </row>
    <row r="6" spans="1:36" s="430" customFormat="1" ht="15" customHeight="1" x14ac:dyDescent="0.25">
      <c r="B6" s="435" t="s">
        <v>379</v>
      </c>
      <c r="C6" s="436"/>
      <c r="D6" s="437"/>
      <c r="E6" s="436"/>
      <c r="F6" s="438"/>
      <c r="G6" s="435" t="s">
        <v>380</v>
      </c>
      <c r="H6" s="437"/>
      <c r="I6" s="437"/>
      <c r="J6" s="435" t="s">
        <v>381</v>
      </c>
      <c r="K6" s="437"/>
      <c r="L6" s="437"/>
      <c r="M6" s="437"/>
      <c r="N6" s="437"/>
      <c r="P6" s="435"/>
    </row>
    <row r="7" spans="1:36" s="430" customFormat="1" ht="15" customHeight="1" x14ac:dyDescent="0.25">
      <c r="B7" s="492" t="s">
        <v>382</v>
      </c>
      <c r="C7" s="437"/>
      <c r="D7" s="437"/>
      <c r="E7" s="439" t="s">
        <v>1318</v>
      </c>
      <c r="F7" s="437"/>
      <c r="G7" s="497" t="s">
        <v>383</v>
      </c>
      <c r="H7" s="437"/>
      <c r="J7" s="495" t="s">
        <v>384</v>
      </c>
      <c r="L7" s="430" t="s">
        <v>385</v>
      </c>
      <c r="P7" s="430" t="s">
        <v>386</v>
      </c>
    </row>
    <row r="8" spans="1:36" s="430" customFormat="1" ht="15" customHeight="1" x14ac:dyDescent="0.25">
      <c r="B8" s="492" t="s">
        <v>387</v>
      </c>
      <c r="C8" s="437"/>
      <c r="D8" s="437"/>
      <c r="E8" s="439" t="s">
        <v>388</v>
      </c>
      <c r="F8" s="437"/>
      <c r="G8" s="498" t="s">
        <v>389</v>
      </c>
      <c r="H8" s="437"/>
      <c r="J8" s="495" t="s">
        <v>390</v>
      </c>
      <c r="L8" s="430" t="s">
        <v>391</v>
      </c>
      <c r="P8" s="430" t="s">
        <v>1322</v>
      </c>
    </row>
    <row r="9" spans="1:36" s="430" customFormat="1" ht="15" customHeight="1" x14ac:dyDescent="0.25">
      <c r="B9" s="493" t="s">
        <v>392</v>
      </c>
      <c r="C9" s="437"/>
      <c r="D9" s="437"/>
      <c r="E9" s="439" t="s">
        <v>393</v>
      </c>
      <c r="F9" s="437"/>
      <c r="G9" s="499" t="s">
        <v>394</v>
      </c>
      <c r="H9" s="437"/>
      <c r="J9" s="495" t="s">
        <v>395</v>
      </c>
      <c r="L9" s="430" t="s">
        <v>396</v>
      </c>
      <c r="P9" s="430" t="s">
        <v>1323</v>
      </c>
      <c r="S9" s="440"/>
    </row>
    <row r="10" spans="1:36" s="430" customFormat="1" ht="15" customHeight="1" x14ac:dyDescent="0.25">
      <c r="B10" s="492" t="s">
        <v>397</v>
      </c>
      <c r="C10" s="437"/>
      <c r="D10" s="437"/>
      <c r="E10" s="439" t="s">
        <v>398</v>
      </c>
      <c r="F10" s="441"/>
      <c r="G10" s="495"/>
      <c r="H10" s="437"/>
      <c r="J10" s="495"/>
    </row>
    <row r="11" spans="1:36" s="430" customFormat="1" ht="15" customHeight="1" x14ac:dyDescent="0.25">
      <c r="B11" s="492" t="s">
        <v>399</v>
      </c>
      <c r="C11" s="437"/>
      <c r="D11" s="437"/>
      <c r="E11" s="439" t="s">
        <v>400</v>
      </c>
      <c r="F11" s="441"/>
      <c r="G11" s="495"/>
      <c r="H11" s="437"/>
      <c r="J11" s="495"/>
    </row>
    <row r="12" spans="1:36" s="442" customFormat="1" ht="15" customHeight="1" x14ac:dyDescent="0.25">
      <c r="B12" s="494"/>
      <c r="C12" s="444"/>
      <c r="D12" s="444"/>
      <c r="E12" s="444"/>
      <c r="F12" s="444"/>
      <c r="G12" s="443"/>
      <c r="H12" s="444"/>
      <c r="I12" s="443"/>
      <c r="J12" s="494"/>
      <c r="K12" s="443"/>
      <c r="L12" s="443"/>
      <c r="M12" s="443"/>
      <c r="N12" s="443"/>
      <c r="O12" s="443"/>
      <c r="P12" s="445"/>
      <c r="Q12" s="445"/>
      <c r="R12" s="445"/>
      <c r="S12" s="446"/>
    </row>
    <row r="13" spans="1:36" s="430" customFormat="1" ht="15" customHeight="1" x14ac:dyDescent="0.25">
      <c r="B13" s="436"/>
      <c r="C13" s="436"/>
      <c r="D13" s="437"/>
      <c r="E13" s="436"/>
      <c r="F13" s="438"/>
      <c r="G13" s="436"/>
      <c r="H13" s="437"/>
      <c r="I13" s="437"/>
      <c r="J13" s="437"/>
      <c r="K13" s="437"/>
      <c r="L13" s="437"/>
      <c r="M13" s="437"/>
      <c r="N13" s="437"/>
      <c r="O13" s="437"/>
      <c r="P13" s="436"/>
      <c r="Q13" s="437"/>
      <c r="R13" s="437"/>
      <c r="S13" s="437"/>
    </row>
    <row r="14" spans="1:36" s="430" customFormat="1" ht="15" customHeight="1" x14ac:dyDescent="0.25">
      <c r="B14" s="447" t="s">
        <v>301</v>
      </c>
      <c r="C14" s="448"/>
      <c r="D14" s="449"/>
      <c r="E14" s="449"/>
      <c r="G14" s="447" t="s">
        <v>401</v>
      </c>
      <c r="H14" s="448"/>
      <c r="I14" s="449"/>
      <c r="J14" s="478" t="s">
        <v>402</v>
      </c>
      <c r="K14" s="478" t="s">
        <v>3</v>
      </c>
      <c r="L14" s="478" t="s">
        <v>403</v>
      </c>
      <c r="M14" s="478" t="s">
        <v>404</v>
      </c>
      <c r="N14" s="478" t="s">
        <v>405</v>
      </c>
      <c r="P14" s="567" t="s">
        <v>406</v>
      </c>
      <c r="Q14" s="448"/>
      <c r="R14" s="449"/>
      <c r="S14" s="449"/>
    </row>
    <row r="15" spans="1:36" s="430" customFormat="1" ht="15" customHeight="1" x14ac:dyDescent="0.25">
      <c r="B15" s="495" t="s">
        <v>407</v>
      </c>
      <c r="E15" s="476">
        <f>HY!D610</f>
        <v>0.2</v>
      </c>
      <c r="G15" s="496" t="s">
        <v>408</v>
      </c>
      <c r="H15" s="436"/>
      <c r="I15" s="436"/>
      <c r="J15" s="479" t="str">
        <f>IFERROR(FY!I271,"Needs Link")</f>
        <v>Needs Link</v>
      </c>
      <c r="K15" s="479" t="str">
        <f>IFERROR(FY!J271,"Needs Link")</f>
        <v>Needs Link</v>
      </c>
      <c r="L15" s="479" t="str">
        <f>IFERROR(FY!K271,"Needs Link")</f>
        <v>Needs Link</v>
      </c>
      <c r="M15" s="479" t="str">
        <f>IFERROR(FY!L271,"Needs Link")</f>
        <v>Needs Link</v>
      </c>
      <c r="N15" s="479" t="str">
        <f>IFERROR(FY!M271,"Needs Link")</f>
        <v>Needs Link</v>
      </c>
      <c r="S15" s="440"/>
    </row>
    <row r="16" spans="1:36" s="430" customFormat="1" ht="15" customHeight="1" x14ac:dyDescent="0.25">
      <c r="B16" s="492" t="s">
        <v>409</v>
      </c>
      <c r="C16" s="436"/>
      <c r="D16" s="436"/>
      <c r="E16" s="476">
        <f ca="1">HY!D607</f>
        <v>0.27</v>
      </c>
      <c r="G16" s="495" t="s">
        <v>410</v>
      </c>
      <c r="H16" s="436"/>
      <c r="I16" s="436"/>
      <c r="J16" s="479" t="str">
        <f>IFERROR(FY!I273,"Needs Link")</f>
        <v>Needs Link</v>
      </c>
      <c r="K16" s="479" t="str">
        <f>IFERROR(FY!J273,"Needs Link")</f>
        <v>Needs Link</v>
      </c>
      <c r="L16" s="479" t="str">
        <f>IFERROR(FY!K273,"Needs Link")</f>
        <v>Needs Link</v>
      </c>
      <c r="M16" s="479" t="str">
        <f>IFERROR(FY!L273,"Needs Link")</f>
        <v>Needs Link</v>
      </c>
      <c r="N16" s="479" t="str">
        <f>IFERROR(FY!M273,"Needs Link")</f>
        <v>Needs Link</v>
      </c>
      <c r="S16" s="450"/>
    </row>
    <row r="17" spans="2:19" s="430" customFormat="1" ht="15" customHeight="1" x14ac:dyDescent="0.25">
      <c r="B17" s="495" t="s">
        <v>411</v>
      </c>
      <c r="E17" s="477">
        <f ca="1">E16/E15-1</f>
        <v>0.35000000000000009</v>
      </c>
      <c r="G17" s="495"/>
      <c r="S17" s="451"/>
    </row>
    <row r="18" spans="2:19" s="430" customFormat="1" ht="15" customHeight="1" x14ac:dyDescent="0.25">
      <c r="B18" s="494"/>
      <c r="C18" s="444"/>
      <c r="D18" s="444"/>
      <c r="E18" s="444"/>
      <c r="F18" s="444"/>
      <c r="G18" s="494"/>
      <c r="H18" s="444"/>
      <c r="I18" s="443"/>
      <c r="J18" s="443"/>
      <c r="K18" s="443"/>
      <c r="L18" s="443"/>
      <c r="M18" s="443"/>
      <c r="N18" s="443"/>
      <c r="O18" s="443"/>
      <c r="P18" s="445"/>
      <c r="Q18" s="445"/>
      <c r="R18" s="445"/>
      <c r="S18" s="446"/>
    </row>
    <row r="19" spans="2:19" s="452" customFormat="1" ht="15" customHeight="1" x14ac:dyDescent="0.25">
      <c r="B19" s="436"/>
      <c r="C19" s="436"/>
      <c r="D19" s="437"/>
      <c r="E19" s="436"/>
      <c r="F19" s="438"/>
      <c r="G19" s="436"/>
      <c r="H19" s="437"/>
      <c r="I19" s="437"/>
      <c r="J19" s="437"/>
      <c r="K19" s="437"/>
      <c r="L19" s="437"/>
      <c r="M19" s="437"/>
      <c r="N19" s="437"/>
      <c r="O19" s="437"/>
      <c r="P19" s="436"/>
      <c r="Q19" s="437"/>
      <c r="R19" s="437"/>
      <c r="S19" s="437"/>
    </row>
    <row r="20" spans="2:19" hidden="1" outlineLevel="1" x14ac:dyDescent="0.2">
      <c r="B20" s="430" t="s">
        <v>412</v>
      </c>
    </row>
    <row r="21" spans="2:19" hidden="1" outlineLevel="1" x14ac:dyDescent="0.2">
      <c r="B21" s="453" t="s">
        <v>413</v>
      </c>
    </row>
    <row r="22" spans="2:19" hidden="1" outlineLevel="1" x14ac:dyDescent="0.2">
      <c r="B22" s="453" t="s">
        <v>414</v>
      </c>
    </row>
    <row r="23" spans="2:19" hidden="1" outlineLevel="1" x14ac:dyDescent="0.2">
      <c r="B23" s="453" t="s">
        <v>1321</v>
      </c>
    </row>
    <row r="24" spans="2:19" hidden="1" outlineLevel="1" x14ac:dyDescent="0.2"/>
    <row r="25" spans="2:19" hidden="1" outlineLevel="1" x14ac:dyDescent="0.2"/>
    <row r="26" spans="2:19" hidden="1" outlineLevel="1" x14ac:dyDescent="0.2"/>
    <row r="27" spans="2:19" hidden="1" outlineLevel="1" x14ac:dyDescent="0.2"/>
    <row r="28" spans="2:19" collapsed="1" x14ac:dyDescent="0.2"/>
  </sheetData>
  <pageMargins left="0.7" right="0.7" top="0.75" bottom="0.75" header="0.3" footer="0.3"/>
  <pageSetup paperSize="9" orientation="portrait"/>
  <ignoredErrors>
    <ignoredError sqref="G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AE391"/>
  <sheetViews>
    <sheetView showGridLines="0" zoomScale="85" zoomScaleNormal="85" workbookViewId="0">
      <pane xSplit="4" ySplit="3" topLeftCell="E4" activePane="bottomRight" state="frozen"/>
      <selection activeCell="E128" sqref="E128:Q131"/>
      <selection pane="topRight" activeCell="E128" sqref="E128:Q131"/>
      <selection pane="bottomLeft" activeCell="E128" sqref="E128:Q131"/>
      <selection pane="bottomRight" activeCell="J42" sqref="J42"/>
    </sheetView>
  </sheetViews>
  <sheetFormatPr defaultColWidth="6.28515625" defaultRowHeight="12.75" outlineLevelRow="1" x14ac:dyDescent="0.2"/>
  <cols>
    <col min="1" max="1" width="4" style="4" customWidth="1"/>
    <col min="2" max="2" width="19.5703125" style="4" bestFit="1" customWidth="1"/>
    <col min="3" max="3" width="47" style="4" bestFit="1" customWidth="1"/>
    <col min="4" max="4" width="14.28515625" style="4" bestFit="1" customWidth="1"/>
    <col min="5" max="17" width="8.7109375" style="4" customWidth="1"/>
    <col min="18" max="18" width="10.7109375" style="4" customWidth="1"/>
    <col min="19" max="31" width="8.7109375" style="3" customWidth="1"/>
    <col min="32" max="235" width="6.28515625" style="4" customWidth="1"/>
    <col min="236" max="236" width="18.7109375" style="4" customWidth="1"/>
    <col min="237" max="237" width="22" style="4" bestFit="1" customWidth="1"/>
    <col min="238" max="238" width="50.140625" style="4" bestFit="1" customWidth="1"/>
    <col min="239" max="239" width="37.42578125" style="4" customWidth="1"/>
    <col min="240" max="249" width="11.42578125" style="4" customWidth="1"/>
    <col min="250" max="266" width="0" style="4" hidden="1"/>
    <col min="267" max="267" width="11.42578125" style="4" customWidth="1"/>
    <col min="268" max="268" width="24" style="4" customWidth="1"/>
    <col min="269" max="269" width="11.42578125" style="4" customWidth="1"/>
    <col min="270" max="270" width="8.42578125" style="4" customWidth="1"/>
    <col min="271" max="276" width="23.28515625" style="4" bestFit="1" customWidth="1"/>
    <col min="277" max="491" width="6.28515625" style="4" customWidth="1"/>
    <col min="492" max="492" width="18.7109375" style="4" customWidth="1"/>
    <col min="493" max="493" width="22" style="4" bestFit="1" customWidth="1"/>
    <col min="494" max="494" width="50.140625" style="4" bestFit="1" customWidth="1"/>
    <col min="495" max="495" width="37.42578125" style="4" customWidth="1"/>
    <col min="496" max="505" width="11.42578125" style="4" customWidth="1"/>
    <col min="506" max="522" width="0" style="4" hidden="1"/>
    <col min="523" max="523" width="11.42578125" style="4" customWidth="1"/>
    <col min="524" max="524" width="24" style="4" customWidth="1"/>
    <col min="525" max="525" width="11.42578125" style="4" customWidth="1"/>
    <col min="526" max="526" width="8.42578125" style="4" customWidth="1"/>
    <col min="527" max="532" width="23.28515625" style="4" bestFit="1" customWidth="1"/>
    <col min="533" max="747" width="6.28515625" style="4" customWidth="1"/>
    <col min="748" max="748" width="18.7109375" style="4" customWidth="1"/>
    <col min="749" max="749" width="22" style="4" bestFit="1" customWidth="1"/>
    <col min="750" max="750" width="50.140625" style="4" bestFit="1" customWidth="1"/>
    <col min="751" max="751" width="37.42578125" style="4" customWidth="1"/>
    <col min="752" max="761" width="11.42578125" style="4" customWidth="1"/>
    <col min="762" max="778" width="0" style="4" hidden="1"/>
    <col min="779" max="779" width="11.42578125" style="4" customWidth="1"/>
    <col min="780" max="780" width="24" style="4" customWidth="1"/>
    <col min="781" max="781" width="11.42578125" style="4" customWidth="1"/>
    <col min="782" max="782" width="8.42578125" style="4" customWidth="1"/>
    <col min="783" max="788" width="23.28515625" style="4" bestFit="1" customWidth="1"/>
    <col min="789" max="1003" width="6.28515625" style="4" customWidth="1"/>
    <col min="1004" max="1004" width="18.7109375" style="4" customWidth="1"/>
    <col min="1005" max="1005" width="22" style="4" bestFit="1" customWidth="1"/>
    <col min="1006" max="1006" width="50.140625" style="4" bestFit="1" customWidth="1"/>
    <col min="1007" max="1007" width="37.42578125" style="4" customWidth="1"/>
    <col min="1008" max="1017" width="11.42578125" style="4" customWidth="1"/>
    <col min="1018" max="1034" width="0" style="4" hidden="1"/>
    <col min="1035" max="1035" width="11.42578125" style="4" customWidth="1"/>
    <col min="1036" max="1036" width="24" style="4" customWidth="1"/>
    <col min="1037" max="1037" width="11.42578125" style="4" customWidth="1"/>
    <col min="1038" max="1038" width="8.42578125" style="4" customWidth="1"/>
    <col min="1039" max="1044" width="23.28515625" style="4" bestFit="1" customWidth="1"/>
    <col min="1045" max="1259" width="6.28515625" style="4" customWidth="1"/>
    <col min="1260" max="1260" width="18.7109375" style="4" customWidth="1"/>
    <col min="1261" max="1261" width="22" style="4" bestFit="1" customWidth="1"/>
    <col min="1262" max="1262" width="50.140625" style="4" bestFit="1" customWidth="1"/>
    <col min="1263" max="1263" width="37.42578125" style="4" customWidth="1"/>
    <col min="1264" max="1273" width="11.42578125" style="4" customWidth="1"/>
    <col min="1274" max="1290" width="0" style="4" hidden="1"/>
    <col min="1291" max="1291" width="11.42578125" style="4" customWidth="1"/>
    <col min="1292" max="1292" width="24" style="4" customWidth="1"/>
    <col min="1293" max="1293" width="11.42578125" style="4" customWidth="1"/>
    <col min="1294" max="1294" width="8.42578125" style="4" customWidth="1"/>
    <col min="1295" max="1300" width="23.28515625" style="4" bestFit="1" customWidth="1"/>
    <col min="1301" max="1515" width="6.28515625" style="4" customWidth="1"/>
    <col min="1516" max="1516" width="18.7109375" style="4" customWidth="1"/>
    <col min="1517" max="1517" width="22" style="4" bestFit="1" customWidth="1"/>
    <col min="1518" max="1518" width="50.140625" style="4" bestFit="1" customWidth="1"/>
    <col min="1519" max="1519" width="37.42578125" style="4" customWidth="1"/>
    <col min="1520" max="1529" width="11.42578125" style="4" customWidth="1"/>
    <col min="1530" max="1546" width="0" style="4" hidden="1"/>
    <col min="1547" max="1547" width="11.42578125" style="4" customWidth="1"/>
    <col min="1548" max="1548" width="24" style="4" customWidth="1"/>
    <col min="1549" max="1549" width="11.42578125" style="4" customWidth="1"/>
    <col min="1550" max="1550" width="8.42578125" style="4" customWidth="1"/>
    <col min="1551" max="1556" width="23.28515625" style="4" bestFit="1" customWidth="1"/>
    <col min="1557" max="1771" width="6.28515625" style="4" customWidth="1"/>
    <col min="1772" max="1772" width="18.7109375" style="4" customWidth="1"/>
    <col min="1773" max="1773" width="22" style="4" bestFit="1" customWidth="1"/>
    <col min="1774" max="1774" width="50.140625" style="4" bestFit="1" customWidth="1"/>
    <col min="1775" max="1775" width="37.42578125" style="4" customWidth="1"/>
    <col min="1776" max="1785" width="11.42578125" style="4" customWidth="1"/>
    <col min="1786" max="1802" width="0" style="4" hidden="1"/>
    <col min="1803" max="1803" width="11.42578125" style="4" customWidth="1"/>
    <col min="1804" max="1804" width="24" style="4" customWidth="1"/>
    <col min="1805" max="1805" width="11.42578125" style="4" customWidth="1"/>
    <col min="1806" max="1806" width="8.42578125" style="4" customWidth="1"/>
    <col min="1807" max="1812" width="23.28515625" style="4" bestFit="1" customWidth="1"/>
    <col min="1813" max="2027" width="6.28515625" style="4" customWidth="1"/>
    <col min="2028" max="2028" width="18.7109375" style="4" customWidth="1"/>
    <col min="2029" max="2029" width="22" style="4" bestFit="1" customWidth="1"/>
    <col min="2030" max="2030" width="50.140625" style="4" bestFit="1" customWidth="1"/>
    <col min="2031" max="2031" width="37.42578125" style="4" customWidth="1"/>
    <col min="2032" max="2041" width="11.42578125" style="4" customWidth="1"/>
    <col min="2042" max="2058" width="0" style="4" hidden="1"/>
    <col min="2059" max="2059" width="11.42578125" style="4" customWidth="1"/>
    <col min="2060" max="2060" width="24" style="4" customWidth="1"/>
    <col min="2061" max="2061" width="11.42578125" style="4" customWidth="1"/>
    <col min="2062" max="2062" width="8.42578125" style="4" customWidth="1"/>
    <col min="2063" max="2068" width="23.28515625" style="4" bestFit="1" customWidth="1"/>
    <col min="2069" max="2283" width="6.28515625" style="4" customWidth="1"/>
    <col min="2284" max="2284" width="18.7109375" style="4" customWidth="1"/>
    <col min="2285" max="2285" width="22" style="4" bestFit="1" customWidth="1"/>
    <col min="2286" max="2286" width="50.140625" style="4" bestFit="1" customWidth="1"/>
    <col min="2287" max="2287" width="37.42578125" style="4" customWidth="1"/>
    <col min="2288" max="2297" width="11.42578125" style="4" customWidth="1"/>
    <col min="2298" max="2314" width="0" style="4" hidden="1"/>
    <col min="2315" max="2315" width="11.42578125" style="4" customWidth="1"/>
    <col min="2316" max="2316" width="24" style="4" customWidth="1"/>
    <col min="2317" max="2317" width="11.42578125" style="4" customWidth="1"/>
    <col min="2318" max="2318" width="8.42578125" style="4" customWidth="1"/>
    <col min="2319" max="2324" width="23.28515625" style="4" bestFit="1" customWidth="1"/>
    <col min="2325" max="2539" width="6.28515625" style="4" customWidth="1"/>
    <col min="2540" max="2540" width="18.7109375" style="4" customWidth="1"/>
    <col min="2541" max="2541" width="22" style="4" bestFit="1" customWidth="1"/>
    <col min="2542" max="2542" width="50.140625" style="4" bestFit="1" customWidth="1"/>
    <col min="2543" max="2543" width="37.42578125" style="4" customWidth="1"/>
    <col min="2544" max="2553" width="11.42578125" style="4" customWidth="1"/>
    <col min="2554" max="2570" width="0" style="4" hidden="1"/>
    <col min="2571" max="2571" width="11.42578125" style="4" customWidth="1"/>
    <col min="2572" max="2572" width="24" style="4" customWidth="1"/>
    <col min="2573" max="2573" width="11.42578125" style="4" customWidth="1"/>
    <col min="2574" max="2574" width="8.42578125" style="4" customWidth="1"/>
    <col min="2575" max="2580" width="23.28515625" style="4" bestFit="1" customWidth="1"/>
    <col min="2581" max="2795" width="6.28515625" style="4" customWidth="1"/>
    <col min="2796" max="2796" width="18.7109375" style="4" customWidth="1"/>
    <col min="2797" max="2797" width="22" style="4" bestFit="1" customWidth="1"/>
    <col min="2798" max="2798" width="50.140625" style="4" bestFit="1" customWidth="1"/>
    <col min="2799" max="2799" width="37.42578125" style="4" customWidth="1"/>
    <col min="2800" max="2809" width="11.42578125" style="4" customWidth="1"/>
    <col min="2810" max="2826" width="0" style="4" hidden="1"/>
    <col min="2827" max="2827" width="11.42578125" style="4" customWidth="1"/>
    <col min="2828" max="2828" width="24" style="4" customWidth="1"/>
    <col min="2829" max="2829" width="11.42578125" style="4" customWidth="1"/>
    <col min="2830" max="2830" width="8.42578125" style="4" customWidth="1"/>
    <col min="2831" max="2836" width="23.28515625" style="4" bestFit="1" customWidth="1"/>
    <col min="2837" max="3051" width="6.28515625" style="4" customWidth="1"/>
    <col min="3052" max="3052" width="18.7109375" style="4" customWidth="1"/>
    <col min="3053" max="3053" width="22" style="4" bestFit="1" customWidth="1"/>
    <col min="3054" max="3054" width="50.140625" style="4" bestFit="1" customWidth="1"/>
    <col min="3055" max="3055" width="37.42578125" style="4" customWidth="1"/>
    <col min="3056" max="3065" width="11.42578125" style="4" customWidth="1"/>
    <col min="3066" max="3082" width="0" style="4" hidden="1"/>
    <col min="3083" max="3083" width="11.42578125" style="4" customWidth="1"/>
    <col min="3084" max="3084" width="24" style="4" customWidth="1"/>
    <col min="3085" max="3085" width="11.42578125" style="4" customWidth="1"/>
    <col min="3086" max="3086" width="8.42578125" style="4" customWidth="1"/>
    <col min="3087" max="3092" width="23.28515625" style="4" bestFit="1" customWidth="1"/>
    <col min="3093" max="3307" width="6.28515625" style="4" customWidth="1"/>
    <col min="3308" max="3308" width="18.7109375" style="4" customWidth="1"/>
    <col min="3309" max="3309" width="22" style="4" bestFit="1" customWidth="1"/>
    <col min="3310" max="3310" width="50.140625" style="4" bestFit="1" customWidth="1"/>
    <col min="3311" max="3311" width="37.42578125" style="4" customWidth="1"/>
    <col min="3312" max="3321" width="11.42578125" style="4" customWidth="1"/>
    <col min="3322" max="3338" width="0" style="4" hidden="1"/>
    <col min="3339" max="3339" width="11.42578125" style="4" customWidth="1"/>
    <col min="3340" max="3340" width="24" style="4" customWidth="1"/>
    <col min="3341" max="3341" width="11.42578125" style="4" customWidth="1"/>
    <col min="3342" max="3342" width="8.42578125" style="4" customWidth="1"/>
    <col min="3343" max="3348" width="23.28515625" style="4" bestFit="1" customWidth="1"/>
    <col min="3349" max="3563" width="6.28515625" style="4" customWidth="1"/>
    <col min="3564" max="3564" width="18.7109375" style="4" customWidth="1"/>
    <col min="3565" max="3565" width="22" style="4" bestFit="1" customWidth="1"/>
    <col min="3566" max="3566" width="50.140625" style="4" bestFit="1" customWidth="1"/>
    <col min="3567" max="3567" width="37.42578125" style="4" customWidth="1"/>
    <col min="3568" max="3577" width="11.42578125" style="4" customWidth="1"/>
    <col min="3578" max="3594" width="0" style="4" hidden="1"/>
    <col min="3595" max="3595" width="11.42578125" style="4" customWidth="1"/>
    <col min="3596" max="3596" width="24" style="4" customWidth="1"/>
    <col min="3597" max="3597" width="11.42578125" style="4" customWidth="1"/>
    <col min="3598" max="3598" width="8.42578125" style="4" customWidth="1"/>
    <col min="3599" max="3604" width="23.28515625" style="4" bestFit="1" customWidth="1"/>
    <col min="3605" max="3819" width="6.28515625" style="4" customWidth="1"/>
    <col min="3820" max="3820" width="18.7109375" style="4" customWidth="1"/>
    <col min="3821" max="3821" width="22" style="4" bestFit="1" customWidth="1"/>
    <col min="3822" max="3822" width="50.140625" style="4" bestFit="1" customWidth="1"/>
    <col min="3823" max="3823" width="37.42578125" style="4" customWidth="1"/>
    <col min="3824" max="3833" width="11.42578125" style="4" customWidth="1"/>
    <col min="3834" max="3850" width="0" style="4" hidden="1"/>
    <col min="3851" max="3851" width="11.42578125" style="4" customWidth="1"/>
    <col min="3852" max="3852" width="24" style="4" customWidth="1"/>
    <col min="3853" max="3853" width="11.42578125" style="4" customWidth="1"/>
    <col min="3854" max="3854" width="8.42578125" style="4" customWidth="1"/>
    <col min="3855" max="3860" width="23.28515625" style="4" bestFit="1" customWidth="1"/>
    <col min="3861" max="4075" width="6.28515625" style="4" customWidth="1"/>
    <col min="4076" max="4076" width="18.7109375" style="4" customWidth="1"/>
    <col min="4077" max="4077" width="22" style="4" bestFit="1" customWidth="1"/>
    <col min="4078" max="4078" width="50.140625" style="4" bestFit="1" customWidth="1"/>
    <col min="4079" max="4079" width="37.42578125" style="4" customWidth="1"/>
    <col min="4080" max="4089" width="11.42578125" style="4" customWidth="1"/>
    <col min="4090" max="4106" width="0" style="4" hidden="1"/>
    <col min="4107" max="4107" width="11.42578125" style="4" customWidth="1"/>
    <col min="4108" max="4108" width="24" style="4" customWidth="1"/>
    <col min="4109" max="4109" width="11.42578125" style="4" customWidth="1"/>
    <col min="4110" max="4110" width="8.42578125" style="4" customWidth="1"/>
    <col min="4111" max="4116" width="23.28515625" style="4" bestFit="1" customWidth="1"/>
    <col min="4117" max="4331" width="6.28515625" style="4" customWidth="1"/>
    <col min="4332" max="4332" width="18.7109375" style="4" customWidth="1"/>
    <col min="4333" max="4333" width="22" style="4" bestFit="1" customWidth="1"/>
    <col min="4334" max="4334" width="50.140625" style="4" bestFit="1" customWidth="1"/>
    <col min="4335" max="4335" width="37.42578125" style="4" customWidth="1"/>
    <col min="4336" max="4345" width="11.42578125" style="4" customWidth="1"/>
    <col min="4346" max="4362" width="0" style="4" hidden="1"/>
    <col min="4363" max="4363" width="11.42578125" style="4" customWidth="1"/>
    <col min="4364" max="4364" width="24" style="4" customWidth="1"/>
    <col min="4365" max="4365" width="11.42578125" style="4" customWidth="1"/>
    <col min="4366" max="4366" width="8.42578125" style="4" customWidth="1"/>
    <col min="4367" max="4372" width="23.28515625" style="4" bestFit="1" customWidth="1"/>
    <col min="4373" max="4587" width="6.28515625" style="4" customWidth="1"/>
    <col min="4588" max="4588" width="18.7109375" style="4" customWidth="1"/>
    <col min="4589" max="4589" width="22" style="4" bestFit="1" customWidth="1"/>
    <col min="4590" max="4590" width="50.140625" style="4" bestFit="1" customWidth="1"/>
    <col min="4591" max="4591" width="37.42578125" style="4" customWidth="1"/>
    <col min="4592" max="4601" width="11.42578125" style="4" customWidth="1"/>
    <col min="4602" max="4618" width="0" style="4" hidden="1"/>
    <col min="4619" max="4619" width="11.42578125" style="4" customWidth="1"/>
    <col min="4620" max="4620" width="24" style="4" customWidth="1"/>
    <col min="4621" max="4621" width="11.42578125" style="4" customWidth="1"/>
    <col min="4622" max="4622" width="8.42578125" style="4" customWidth="1"/>
    <col min="4623" max="4628" width="23.28515625" style="4" bestFit="1" customWidth="1"/>
    <col min="4629" max="4843" width="6.28515625" style="4" customWidth="1"/>
    <col min="4844" max="4844" width="18.7109375" style="4" customWidth="1"/>
    <col min="4845" max="4845" width="22" style="4" bestFit="1" customWidth="1"/>
    <col min="4846" max="4846" width="50.140625" style="4" bestFit="1" customWidth="1"/>
    <col min="4847" max="4847" width="37.42578125" style="4" customWidth="1"/>
    <col min="4848" max="4857" width="11.42578125" style="4" customWidth="1"/>
    <col min="4858" max="4874" width="0" style="4" hidden="1"/>
    <col min="4875" max="4875" width="11.42578125" style="4" customWidth="1"/>
    <col min="4876" max="4876" width="24" style="4" customWidth="1"/>
    <col min="4877" max="4877" width="11.42578125" style="4" customWidth="1"/>
    <col min="4878" max="4878" width="8.42578125" style="4" customWidth="1"/>
    <col min="4879" max="4884" width="23.28515625" style="4" bestFit="1" customWidth="1"/>
    <col min="4885" max="5099" width="6.28515625" style="4" customWidth="1"/>
    <col min="5100" max="5100" width="18.7109375" style="4" customWidth="1"/>
    <col min="5101" max="5101" width="22" style="4" bestFit="1" customWidth="1"/>
    <col min="5102" max="5102" width="50.140625" style="4" bestFit="1" customWidth="1"/>
    <col min="5103" max="5103" width="37.42578125" style="4" customWidth="1"/>
    <col min="5104" max="5113" width="11.42578125" style="4" customWidth="1"/>
    <col min="5114" max="5130" width="0" style="4" hidden="1"/>
    <col min="5131" max="5131" width="11.42578125" style="4" customWidth="1"/>
    <col min="5132" max="5132" width="24" style="4" customWidth="1"/>
    <col min="5133" max="5133" width="11.42578125" style="4" customWidth="1"/>
    <col min="5134" max="5134" width="8.42578125" style="4" customWidth="1"/>
    <col min="5135" max="5140" width="23.28515625" style="4" bestFit="1" customWidth="1"/>
    <col min="5141" max="5355" width="6.28515625" style="4" customWidth="1"/>
    <col min="5356" max="5356" width="18.7109375" style="4" customWidth="1"/>
    <col min="5357" max="5357" width="22" style="4" bestFit="1" customWidth="1"/>
    <col min="5358" max="5358" width="50.140625" style="4" bestFit="1" customWidth="1"/>
    <col min="5359" max="5359" width="37.42578125" style="4" customWidth="1"/>
    <col min="5360" max="5369" width="11.42578125" style="4" customWidth="1"/>
    <col min="5370" max="5386" width="0" style="4" hidden="1"/>
    <col min="5387" max="5387" width="11.42578125" style="4" customWidth="1"/>
    <col min="5388" max="5388" width="24" style="4" customWidth="1"/>
    <col min="5389" max="5389" width="11.42578125" style="4" customWidth="1"/>
    <col min="5390" max="5390" width="8.42578125" style="4" customWidth="1"/>
    <col min="5391" max="5396" width="23.28515625" style="4" bestFit="1" customWidth="1"/>
    <col min="5397" max="5611" width="6.28515625" style="4" customWidth="1"/>
    <col min="5612" max="5612" width="18.7109375" style="4" customWidth="1"/>
    <col min="5613" max="5613" width="22" style="4" bestFit="1" customWidth="1"/>
    <col min="5614" max="5614" width="50.140625" style="4" bestFit="1" customWidth="1"/>
    <col min="5615" max="5615" width="37.42578125" style="4" customWidth="1"/>
    <col min="5616" max="5625" width="11.42578125" style="4" customWidth="1"/>
    <col min="5626" max="5642" width="0" style="4" hidden="1"/>
    <col min="5643" max="5643" width="11.42578125" style="4" customWidth="1"/>
    <col min="5644" max="5644" width="24" style="4" customWidth="1"/>
    <col min="5645" max="5645" width="11.42578125" style="4" customWidth="1"/>
    <col min="5646" max="5646" width="8.42578125" style="4" customWidth="1"/>
    <col min="5647" max="5652" width="23.28515625" style="4" bestFit="1" customWidth="1"/>
    <col min="5653" max="5867" width="6.28515625" style="4" customWidth="1"/>
    <col min="5868" max="5868" width="18.7109375" style="4" customWidth="1"/>
    <col min="5869" max="5869" width="22" style="4" bestFit="1" customWidth="1"/>
    <col min="5870" max="5870" width="50.140625" style="4" bestFit="1" customWidth="1"/>
    <col min="5871" max="5871" width="37.42578125" style="4" customWidth="1"/>
    <col min="5872" max="5881" width="11.42578125" style="4" customWidth="1"/>
    <col min="5882" max="5898" width="0" style="4" hidden="1"/>
    <col min="5899" max="5899" width="11.42578125" style="4" customWidth="1"/>
    <col min="5900" max="5900" width="24" style="4" customWidth="1"/>
    <col min="5901" max="5901" width="11.42578125" style="4" customWidth="1"/>
    <col min="5902" max="5902" width="8.42578125" style="4" customWidth="1"/>
    <col min="5903" max="5908" width="23.28515625" style="4" bestFit="1" customWidth="1"/>
    <col min="5909" max="6123" width="6.28515625" style="4" customWidth="1"/>
    <col min="6124" max="6124" width="18.7109375" style="4" customWidth="1"/>
    <col min="6125" max="6125" width="22" style="4" bestFit="1" customWidth="1"/>
    <col min="6126" max="6126" width="50.140625" style="4" bestFit="1" customWidth="1"/>
    <col min="6127" max="6127" width="37.42578125" style="4" customWidth="1"/>
    <col min="6128" max="6137" width="11.42578125" style="4" customWidth="1"/>
    <col min="6138" max="6154" width="0" style="4" hidden="1"/>
    <col min="6155" max="6155" width="11.42578125" style="4" customWidth="1"/>
    <col min="6156" max="6156" width="24" style="4" customWidth="1"/>
    <col min="6157" max="6157" width="11.42578125" style="4" customWidth="1"/>
    <col min="6158" max="6158" width="8.42578125" style="4" customWidth="1"/>
    <col min="6159" max="6164" width="23.28515625" style="4" bestFit="1" customWidth="1"/>
    <col min="6165" max="6379" width="6.28515625" style="4" customWidth="1"/>
    <col min="6380" max="6380" width="18.7109375" style="4" customWidth="1"/>
    <col min="6381" max="6381" width="22" style="4" bestFit="1" customWidth="1"/>
    <col min="6382" max="6382" width="50.140625" style="4" bestFit="1" customWidth="1"/>
    <col min="6383" max="6383" width="37.42578125" style="4" customWidth="1"/>
    <col min="6384" max="6393" width="11.42578125" style="4" customWidth="1"/>
    <col min="6394" max="6410" width="0" style="4" hidden="1"/>
    <col min="6411" max="6411" width="11.42578125" style="4" customWidth="1"/>
    <col min="6412" max="6412" width="24" style="4" customWidth="1"/>
    <col min="6413" max="6413" width="11.42578125" style="4" customWidth="1"/>
    <col min="6414" max="6414" width="8.42578125" style="4" customWidth="1"/>
    <col min="6415" max="6420" width="23.28515625" style="4" bestFit="1" customWidth="1"/>
    <col min="6421" max="6635" width="6.28515625" style="4" customWidth="1"/>
    <col min="6636" max="6636" width="18.7109375" style="4" customWidth="1"/>
    <col min="6637" max="6637" width="22" style="4" bestFit="1" customWidth="1"/>
    <col min="6638" max="6638" width="50.140625" style="4" bestFit="1" customWidth="1"/>
    <col min="6639" max="6639" width="37.42578125" style="4" customWidth="1"/>
    <col min="6640" max="6649" width="11.42578125" style="4" customWidth="1"/>
    <col min="6650" max="6666" width="0" style="4" hidden="1"/>
    <col min="6667" max="6667" width="11.42578125" style="4" customWidth="1"/>
    <col min="6668" max="6668" width="24" style="4" customWidth="1"/>
    <col min="6669" max="6669" width="11.42578125" style="4" customWidth="1"/>
    <col min="6670" max="6670" width="8.42578125" style="4" customWidth="1"/>
    <col min="6671" max="6676" width="23.28515625" style="4" bestFit="1" customWidth="1"/>
    <col min="6677" max="6891" width="6.28515625" style="4" customWidth="1"/>
    <col min="6892" max="6892" width="18.7109375" style="4" customWidth="1"/>
    <col min="6893" max="6893" width="22" style="4" bestFit="1" customWidth="1"/>
    <col min="6894" max="6894" width="50.140625" style="4" bestFit="1" customWidth="1"/>
    <col min="6895" max="6895" width="37.42578125" style="4" customWidth="1"/>
    <col min="6896" max="6905" width="11.42578125" style="4" customWidth="1"/>
    <col min="6906" max="6922" width="0" style="4" hidden="1"/>
    <col min="6923" max="6923" width="11.42578125" style="4" customWidth="1"/>
    <col min="6924" max="6924" width="24" style="4" customWidth="1"/>
    <col min="6925" max="6925" width="11.42578125" style="4" customWidth="1"/>
    <col min="6926" max="6926" width="8.42578125" style="4" customWidth="1"/>
    <col min="6927" max="6932" width="23.28515625" style="4" bestFit="1" customWidth="1"/>
    <col min="6933" max="7147" width="6.28515625" style="4" customWidth="1"/>
    <col min="7148" max="7148" width="18.7109375" style="4" customWidth="1"/>
    <col min="7149" max="7149" width="22" style="4" bestFit="1" customWidth="1"/>
    <col min="7150" max="7150" width="50.140625" style="4" bestFit="1" customWidth="1"/>
    <col min="7151" max="7151" width="37.42578125" style="4" customWidth="1"/>
    <col min="7152" max="7161" width="11.42578125" style="4" customWidth="1"/>
    <col min="7162" max="7178" width="0" style="4" hidden="1"/>
    <col min="7179" max="7179" width="11.42578125" style="4" customWidth="1"/>
    <col min="7180" max="7180" width="24" style="4" customWidth="1"/>
    <col min="7181" max="7181" width="11.42578125" style="4" customWidth="1"/>
    <col min="7182" max="7182" width="8.42578125" style="4" customWidth="1"/>
    <col min="7183" max="7188" width="23.28515625" style="4" bestFit="1" customWidth="1"/>
    <col min="7189" max="7403" width="6.28515625" style="4" customWidth="1"/>
    <col min="7404" max="7404" width="18.7109375" style="4" customWidth="1"/>
    <col min="7405" max="7405" width="22" style="4" bestFit="1" customWidth="1"/>
    <col min="7406" max="7406" width="50.140625" style="4" bestFit="1" customWidth="1"/>
    <col min="7407" max="7407" width="37.42578125" style="4" customWidth="1"/>
    <col min="7408" max="7417" width="11.42578125" style="4" customWidth="1"/>
    <col min="7418" max="7434" width="0" style="4" hidden="1"/>
    <col min="7435" max="7435" width="11.42578125" style="4" customWidth="1"/>
    <col min="7436" max="7436" width="24" style="4" customWidth="1"/>
    <col min="7437" max="7437" width="11.42578125" style="4" customWidth="1"/>
    <col min="7438" max="7438" width="8.42578125" style="4" customWidth="1"/>
    <col min="7439" max="7444" width="23.28515625" style="4" bestFit="1" customWidth="1"/>
    <col min="7445" max="7659" width="6.28515625" style="4" customWidth="1"/>
    <col min="7660" max="7660" width="18.7109375" style="4" customWidth="1"/>
    <col min="7661" max="7661" width="22" style="4" bestFit="1" customWidth="1"/>
    <col min="7662" max="7662" width="50.140625" style="4" bestFit="1" customWidth="1"/>
    <col min="7663" max="7663" width="37.42578125" style="4" customWidth="1"/>
    <col min="7664" max="7673" width="11.42578125" style="4" customWidth="1"/>
    <col min="7674" max="7690" width="0" style="4" hidden="1"/>
    <col min="7691" max="7691" width="11.42578125" style="4" customWidth="1"/>
    <col min="7692" max="7692" width="24" style="4" customWidth="1"/>
    <col min="7693" max="7693" width="11.42578125" style="4" customWidth="1"/>
    <col min="7694" max="7694" width="8.42578125" style="4" customWidth="1"/>
    <col min="7695" max="7700" width="23.28515625" style="4" bestFit="1" customWidth="1"/>
    <col min="7701" max="7915" width="6.28515625" style="4" customWidth="1"/>
    <col min="7916" max="7916" width="18.7109375" style="4" customWidth="1"/>
    <col min="7917" max="7917" width="22" style="4" bestFit="1" customWidth="1"/>
    <col min="7918" max="7918" width="50.140625" style="4" bestFit="1" customWidth="1"/>
    <col min="7919" max="7919" width="37.42578125" style="4" customWidth="1"/>
    <col min="7920" max="7929" width="11.42578125" style="4" customWidth="1"/>
    <col min="7930" max="7946" width="0" style="4" hidden="1"/>
    <col min="7947" max="7947" width="11.42578125" style="4" customWidth="1"/>
    <col min="7948" max="7948" width="24" style="4" customWidth="1"/>
    <col min="7949" max="7949" width="11.42578125" style="4" customWidth="1"/>
    <col min="7950" max="7950" width="8.42578125" style="4" customWidth="1"/>
    <col min="7951" max="7956" width="23.28515625" style="4" bestFit="1" customWidth="1"/>
    <col min="7957" max="8171" width="6.28515625" style="4" customWidth="1"/>
    <col min="8172" max="8172" width="18.7109375" style="4" customWidth="1"/>
    <col min="8173" max="8173" width="22" style="4" bestFit="1" customWidth="1"/>
    <col min="8174" max="8174" width="50.140625" style="4" bestFit="1" customWidth="1"/>
    <col min="8175" max="8175" width="37.42578125" style="4" customWidth="1"/>
    <col min="8176" max="8185" width="11.42578125" style="4" customWidth="1"/>
    <col min="8186" max="8202" width="0" style="4" hidden="1"/>
    <col min="8203" max="8203" width="11.42578125" style="4" customWidth="1"/>
    <col min="8204" max="8204" width="24" style="4" customWidth="1"/>
    <col min="8205" max="8205" width="11.42578125" style="4" customWidth="1"/>
    <col min="8206" max="8206" width="8.42578125" style="4" customWidth="1"/>
    <col min="8207" max="8212" width="23.28515625" style="4" bestFit="1" customWidth="1"/>
    <col min="8213" max="8427" width="6.28515625" style="4" customWidth="1"/>
    <col min="8428" max="8428" width="18.7109375" style="4" customWidth="1"/>
    <col min="8429" max="8429" width="22" style="4" bestFit="1" customWidth="1"/>
    <col min="8430" max="8430" width="50.140625" style="4" bestFit="1" customWidth="1"/>
    <col min="8431" max="8431" width="37.42578125" style="4" customWidth="1"/>
    <col min="8432" max="8441" width="11.42578125" style="4" customWidth="1"/>
    <col min="8442" max="8458" width="0" style="4" hidden="1"/>
    <col min="8459" max="8459" width="11.42578125" style="4" customWidth="1"/>
    <col min="8460" max="8460" width="24" style="4" customWidth="1"/>
    <col min="8461" max="8461" width="11.42578125" style="4" customWidth="1"/>
    <col min="8462" max="8462" width="8.42578125" style="4" customWidth="1"/>
    <col min="8463" max="8468" width="23.28515625" style="4" bestFit="1" customWidth="1"/>
    <col min="8469" max="8683" width="6.28515625" style="4" customWidth="1"/>
    <col min="8684" max="8684" width="18.7109375" style="4" customWidth="1"/>
    <col min="8685" max="8685" width="22" style="4" bestFit="1" customWidth="1"/>
    <col min="8686" max="8686" width="50.140625" style="4" bestFit="1" customWidth="1"/>
    <col min="8687" max="8687" width="37.42578125" style="4" customWidth="1"/>
    <col min="8688" max="8697" width="11.42578125" style="4" customWidth="1"/>
    <col min="8698" max="8714" width="0" style="4" hidden="1"/>
    <col min="8715" max="8715" width="11.42578125" style="4" customWidth="1"/>
    <col min="8716" max="8716" width="24" style="4" customWidth="1"/>
    <col min="8717" max="8717" width="11.42578125" style="4" customWidth="1"/>
    <col min="8718" max="8718" width="8.42578125" style="4" customWidth="1"/>
    <col min="8719" max="8724" width="23.28515625" style="4" bestFit="1" customWidth="1"/>
    <col min="8725" max="8939" width="6.28515625" style="4" customWidth="1"/>
    <col min="8940" max="8940" width="18.7109375" style="4" customWidth="1"/>
    <col min="8941" max="8941" width="22" style="4" bestFit="1" customWidth="1"/>
    <col min="8942" max="8942" width="50.140625" style="4" bestFit="1" customWidth="1"/>
    <col min="8943" max="8943" width="37.42578125" style="4" customWidth="1"/>
    <col min="8944" max="8953" width="11.42578125" style="4" customWidth="1"/>
    <col min="8954" max="8970" width="0" style="4" hidden="1"/>
    <col min="8971" max="8971" width="11.42578125" style="4" customWidth="1"/>
    <col min="8972" max="8972" width="24" style="4" customWidth="1"/>
    <col min="8973" max="8973" width="11.42578125" style="4" customWidth="1"/>
    <col min="8974" max="8974" width="8.42578125" style="4" customWidth="1"/>
    <col min="8975" max="8980" width="23.28515625" style="4" bestFit="1" customWidth="1"/>
    <col min="8981" max="9195" width="6.28515625" style="4" customWidth="1"/>
    <col min="9196" max="9196" width="18.7109375" style="4" customWidth="1"/>
    <col min="9197" max="9197" width="22" style="4" bestFit="1" customWidth="1"/>
    <col min="9198" max="9198" width="50.140625" style="4" bestFit="1" customWidth="1"/>
    <col min="9199" max="9199" width="37.42578125" style="4" customWidth="1"/>
    <col min="9200" max="9209" width="11.42578125" style="4" customWidth="1"/>
    <col min="9210" max="9226" width="0" style="4" hidden="1"/>
    <col min="9227" max="9227" width="11.42578125" style="4" customWidth="1"/>
    <col min="9228" max="9228" width="24" style="4" customWidth="1"/>
    <col min="9229" max="9229" width="11.42578125" style="4" customWidth="1"/>
    <col min="9230" max="9230" width="8.42578125" style="4" customWidth="1"/>
    <col min="9231" max="9236" width="23.28515625" style="4" bestFit="1" customWidth="1"/>
    <col min="9237" max="9451" width="6.28515625" style="4" customWidth="1"/>
    <col min="9452" max="9452" width="18.7109375" style="4" customWidth="1"/>
    <col min="9453" max="9453" width="22" style="4" bestFit="1" customWidth="1"/>
    <col min="9454" max="9454" width="50.140625" style="4" bestFit="1" customWidth="1"/>
    <col min="9455" max="9455" width="37.42578125" style="4" customWidth="1"/>
    <col min="9456" max="9465" width="11.42578125" style="4" customWidth="1"/>
    <col min="9466" max="9482" width="0" style="4" hidden="1"/>
    <col min="9483" max="9483" width="11.42578125" style="4" customWidth="1"/>
    <col min="9484" max="9484" width="24" style="4" customWidth="1"/>
    <col min="9485" max="9485" width="11.42578125" style="4" customWidth="1"/>
    <col min="9486" max="9486" width="8.42578125" style="4" customWidth="1"/>
    <col min="9487" max="9492" width="23.28515625" style="4" bestFit="1" customWidth="1"/>
    <col min="9493" max="9707" width="6.28515625" style="4" customWidth="1"/>
    <col min="9708" max="9708" width="18.7109375" style="4" customWidth="1"/>
    <col min="9709" max="9709" width="22" style="4" bestFit="1" customWidth="1"/>
    <col min="9710" max="9710" width="50.140625" style="4" bestFit="1" customWidth="1"/>
    <col min="9711" max="9711" width="37.42578125" style="4" customWidth="1"/>
    <col min="9712" max="9721" width="11.42578125" style="4" customWidth="1"/>
    <col min="9722" max="9738" width="0" style="4" hidden="1"/>
    <col min="9739" max="9739" width="11.42578125" style="4" customWidth="1"/>
    <col min="9740" max="9740" width="24" style="4" customWidth="1"/>
    <col min="9741" max="9741" width="11.42578125" style="4" customWidth="1"/>
    <col min="9742" max="9742" width="8.42578125" style="4" customWidth="1"/>
    <col min="9743" max="9748" width="23.28515625" style="4" bestFit="1" customWidth="1"/>
    <col min="9749" max="9963" width="6.28515625" style="4" customWidth="1"/>
    <col min="9964" max="9964" width="18.7109375" style="4" customWidth="1"/>
    <col min="9965" max="9965" width="22" style="4" bestFit="1" customWidth="1"/>
    <col min="9966" max="9966" width="50.140625" style="4" bestFit="1" customWidth="1"/>
    <col min="9967" max="9967" width="37.42578125" style="4" customWidth="1"/>
    <col min="9968" max="9977" width="11.42578125" style="4" customWidth="1"/>
    <col min="9978" max="9994" width="0" style="4" hidden="1"/>
    <col min="9995" max="9995" width="11.42578125" style="4" customWidth="1"/>
    <col min="9996" max="9996" width="24" style="4" customWidth="1"/>
    <col min="9997" max="9997" width="11.42578125" style="4" customWidth="1"/>
    <col min="9998" max="9998" width="8.42578125" style="4" customWidth="1"/>
    <col min="9999" max="10004" width="23.28515625" style="4" bestFit="1" customWidth="1"/>
    <col min="10005" max="10219" width="6.28515625" style="4" customWidth="1"/>
    <col min="10220" max="10220" width="18.7109375" style="4" customWidth="1"/>
    <col min="10221" max="10221" width="22" style="4" bestFit="1" customWidth="1"/>
    <col min="10222" max="10222" width="50.140625" style="4" bestFit="1" customWidth="1"/>
    <col min="10223" max="10223" width="37.42578125" style="4" customWidth="1"/>
    <col min="10224" max="10233" width="11.42578125" style="4" customWidth="1"/>
    <col min="10234" max="10250" width="0" style="4" hidden="1"/>
    <col min="10251" max="10251" width="11.42578125" style="4" customWidth="1"/>
    <col min="10252" max="10252" width="24" style="4" customWidth="1"/>
    <col min="10253" max="10253" width="11.42578125" style="4" customWidth="1"/>
    <col min="10254" max="10254" width="8.42578125" style="4" customWidth="1"/>
    <col min="10255" max="10260" width="23.28515625" style="4" bestFit="1" customWidth="1"/>
    <col min="10261" max="10475" width="6.28515625" style="4" customWidth="1"/>
    <col min="10476" max="10476" width="18.7109375" style="4" customWidth="1"/>
    <col min="10477" max="10477" width="22" style="4" bestFit="1" customWidth="1"/>
    <col min="10478" max="10478" width="50.140625" style="4" bestFit="1" customWidth="1"/>
    <col min="10479" max="10479" width="37.42578125" style="4" customWidth="1"/>
    <col min="10480" max="10489" width="11.42578125" style="4" customWidth="1"/>
    <col min="10490" max="10506" width="0" style="4" hidden="1"/>
    <col min="10507" max="10507" width="11.42578125" style="4" customWidth="1"/>
    <col min="10508" max="10508" width="24" style="4" customWidth="1"/>
    <col min="10509" max="10509" width="11.42578125" style="4" customWidth="1"/>
    <col min="10510" max="10510" width="8.42578125" style="4" customWidth="1"/>
    <col min="10511" max="10516" width="23.28515625" style="4" bestFit="1" customWidth="1"/>
    <col min="10517" max="10731" width="6.28515625" style="4" customWidth="1"/>
    <col min="10732" max="10732" width="18.7109375" style="4" customWidth="1"/>
    <col min="10733" max="10733" width="22" style="4" bestFit="1" customWidth="1"/>
    <col min="10734" max="10734" width="50.140625" style="4" bestFit="1" customWidth="1"/>
    <col min="10735" max="10735" width="37.42578125" style="4" customWidth="1"/>
    <col min="10736" max="10745" width="11.42578125" style="4" customWidth="1"/>
    <col min="10746" max="10762" width="0" style="4" hidden="1"/>
    <col min="10763" max="10763" width="11.42578125" style="4" customWidth="1"/>
    <col min="10764" max="10764" width="24" style="4" customWidth="1"/>
    <col min="10765" max="10765" width="11.42578125" style="4" customWidth="1"/>
    <col min="10766" max="10766" width="8.42578125" style="4" customWidth="1"/>
    <col min="10767" max="10772" width="23.28515625" style="4" bestFit="1" customWidth="1"/>
    <col min="10773" max="10987" width="6.28515625" style="4" customWidth="1"/>
    <col min="10988" max="10988" width="18.7109375" style="4" customWidth="1"/>
    <col min="10989" max="10989" width="22" style="4" bestFit="1" customWidth="1"/>
    <col min="10990" max="10990" width="50.140625" style="4" bestFit="1" customWidth="1"/>
    <col min="10991" max="10991" width="37.42578125" style="4" customWidth="1"/>
    <col min="10992" max="11001" width="11.42578125" style="4" customWidth="1"/>
    <col min="11002" max="11018" width="0" style="4" hidden="1"/>
    <col min="11019" max="11019" width="11.42578125" style="4" customWidth="1"/>
    <col min="11020" max="11020" width="24" style="4" customWidth="1"/>
    <col min="11021" max="11021" width="11.42578125" style="4" customWidth="1"/>
    <col min="11022" max="11022" width="8.42578125" style="4" customWidth="1"/>
    <col min="11023" max="11028" width="23.28515625" style="4" bestFit="1" customWidth="1"/>
    <col min="11029" max="11243" width="6.28515625" style="4" customWidth="1"/>
    <col min="11244" max="11244" width="18.7109375" style="4" customWidth="1"/>
    <col min="11245" max="11245" width="22" style="4" bestFit="1" customWidth="1"/>
    <col min="11246" max="11246" width="50.140625" style="4" bestFit="1" customWidth="1"/>
    <col min="11247" max="11247" width="37.42578125" style="4" customWidth="1"/>
    <col min="11248" max="11257" width="11.42578125" style="4" customWidth="1"/>
    <col min="11258" max="11274" width="0" style="4" hidden="1"/>
    <col min="11275" max="11275" width="11.42578125" style="4" customWidth="1"/>
    <col min="11276" max="11276" width="24" style="4" customWidth="1"/>
    <col min="11277" max="11277" width="11.42578125" style="4" customWidth="1"/>
    <col min="11278" max="11278" width="8.42578125" style="4" customWidth="1"/>
    <col min="11279" max="11284" width="23.28515625" style="4" bestFit="1" customWidth="1"/>
    <col min="11285" max="11499" width="6.28515625" style="4" customWidth="1"/>
    <col min="11500" max="11500" width="18.7109375" style="4" customWidth="1"/>
    <col min="11501" max="11501" width="22" style="4" bestFit="1" customWidth="1"/>
    <col min="11502" max="11502" width="50.140625" style="4" bestFit="1" customWidth="1"/>
    <col min="11503" max="11503" width="37.42578125" style="4" customWidth="1"/>
    <col min="11504" max="11513" width="11.42578125" style="4" customWidth="1"/>
    <col min="11514" max="11530" width="0" style="4" hidden="1"/>
    <col min="11531" max="11531" width="11.42578125" style="4" customWidth="1"/>
    <col min="11532" max="11532" width="24" style="4" customWidth="1"/>
    <col min="11533" max="11533" width="11.42578125" style="4" customWidth="1"/>
    <col min="11534" max="11534" width="8.42578125" style="4" customWidth="1"/>
    <col min="11535" max="11540" width="23.28515625" style="4" bestFit="1" customWidth="1"/>
    <col min="11541" max="11755" width="6.28515625" style="4" customWidth="1"/>
    <col min="11756" max="11756" width="18.7109375" style="4" customWidth="1"/>
    <col min="11757" max="11757" width="22" style="4" bestFit="1" customWidth="1"/>
    <col min="11758" max="11758" width="50.140625" style="4" bestFit="1" customWidth="1"/>
    <col min="11759" max="11759" width="37.42578125" style="4" customWidth="1"/>
    <col min="11760" max="11769" width="11.42578125" style="4" customWidth="1"/>
    <col min="11770" max="11786" width="0" style="4" hidden="1"/>
    <col min="11787" max="11787" width="11.42578125" style="4" customWidth="1"/>
    <col min="11788" max="11788" width="24" style="4" customWidth="1"/>
    <col min="11789" max="11789" width="11.42578125" style="4" customWidth="1"/>
    <col min="11790" max="11790" width="8.42578125" style="4" customWidth="1"/>
    <col min="11791" max="11796" width="23.28515625" style="4" bestFit="1" customWidth="1"/>
    <col min="11797" max="12011" width="6.28515625" style="4" customWidth="1"/>
    <col min="12012" max="12012" width="18.7109375" style="4" customWidth="1"/>
    <col min="12013" max="12013" width="22" style="4" bestFit="1" customWidth="1"/>
    <col min="12014" max="12014" width="50.140625" style="4" bestFit="1" customWidth="1"/>
    <col min="12015" max="12015" width="37.42578125" style="4" customWidth="1"/>
    <col min="12016" max="12025" width="11.42578125" style="4" customWidth="1"/>
    <col min="12026" max="12042" width="0" style="4" hidden="1"/>
    <col min="12043" max="12043" width="11.42578125" style="4" customWidth="1"/>
    <col min="12044" max="12044" width="24" style="4" customWidth="1"/>
    <col min="12045" max="12045" width="11.42578125" style="4" customWidth="1"/>
    <col min="12046" max="12046" width="8.42578125" style="4" customWidth="1"/>
    <col min="12047" max="12052" width="23.28515625" style="4" bestFit="1" customWidth="1"/>
    <col min="12053" max="12267" width="6.28515625" style="4" customWidth="1"/>
    <col min="12268" max="12268" width="18.7109375" style="4" customWidth="1"/>
    <col min="12269" max="12269" width="22" style="4" bestFit="1" customWidth="1"/>
    <col min="12270" max="12270" width="50.140625" style="4" bestFit="1" customWidth="1"/>
    <col min="12271" max="12271" width="37.42578125" style="4" customWidth="1"/>
    <col min="12272" max="12281" width="11.42578125" style="4" customWidth="1"/>
    <col min="12282" max="12298" width="0" style="4" hidden="1"/>
    <col min="12299" max="12299" width="11.42578125" style="4" customWidth="1"/>
    <col min="12300" max="12300" width="24" style="4" customWidth="1"/>
    <col min="12301" max="12301" width="11.42578125" style="4" customWidth="1"/>
    <col min="12302" max="12302" width="8.42578125" style="4" customWidth="1"/>
    <col min="12303" max="12308" width="23.28515625" style="4" bestFit="1" customWidth="1"/>
    <col min="12309" max="12523" width="6.28515625" style="4" customWidth="1"/>
    <col min="12524" max="12524" width="18.7109375" style="4" customWidth="1"/>
    <col min="12525" max="12525" width="22" style="4" bestFit="1" customWidth="1"/>
    <col min="12526" max="12526" width="50.140625" style="4" bestFit="1" customWidth="1"/>
    <col min="12527" max="12527" width="37.42578125" style="4" customWidth="1"/>
    <col min="12528" max="12537" width="11.42578125" style="4" customWidth="1"/>
    <col min="12538" max="12554" width="0" style="4" hidden="1"/>
    <col min="12555" max="12555" width="11.42578125" style="4" customWidth="1"/>
    <col min="12556" max="12556" width="24" style="4" customWidth="1"/>
    <col min="12557" max="12557" width="11.42578125" style="4" customWidth="1"/>
    <col min="12558" max="12558" width="8.42578125" style="4" customWidth="1"/>
    <col min="12559" max="12564" width="23.28515625" style="4" bestFit="1" customWidth="1"/>
    <col min="12565" max="12779" width="6.28515625" style="4" customWidth="1"/>
    <col min="12780" max="12780" width="18.7109375" style="4" customWidth="1"/>
    <col min="12781" max="12781" width="22" style="4" bestFit="1" customWidth="1"/>
    <col min="12782" max="12782" width="50.140625" style="4" bestFit="1" customWidth="1"/>
    <col min="12783" max="12783" width="37.42578125" style="4" customWidth="1"/>
    <col min="12784" max="12793" width="11.42578125" style="4" customWidth="1"/>
    <col min="12794" max="12810" width="0" style="4" hidden="1"/>
    <col min="12811" max="12811" width="11.42578125" style="4" customWidth="1"/>
    <col min="12812" max="12812" width="24" style="4" customWidth="1"/>
    <col min="12813" max="12813" width="11.42578125" style="4" customWidth="1"/>
    <col min="12814" max="12814" width="8.42578125" style="4" customWidth="1"/>
    <col min="12815" max="12820" width="23.28515625" style="4" bestFit="1" customWidth="1"/>
    <col min="12821" max="13035" width="6.28515625" style="4" customWidth="1"/>
    <col min="13036" max="13036" width="18.7109375" style="4" customWidth="1"/>
    <col min="13037" max="13037" width="22" style="4" bestFit="1" customWidth="1"/>
    <col min="13038" max="13038" width="50.140625" style="4" bestFit="1" customWidth="1"/>
    <col min="13039" max="13039" width="37.42578125" style="4" customWidth="1"/>
    <col min="13040" max="13049" width="11.42578125" style="4" customWidth="1"/>
    <col min="13050" max="13066" width="0" style="4" hidden="1"/>
    <col min="13067" max="13067" width="11.42578125" style="4" customWidth="1"/>
    <col min="13068" max="13068" width="24" style="4" customWidth="1"/>
    <col min="13069" max="13069" width="11.42578125" style="4" customWidth="1"/>
    <col min="13070" max="13070" width="8.42578125" style="4" customWidth="1"/>
    <col min="13071" max="13076" width="23.28515625" style="4" bestFit="1" customWidth="1"/>
    <col min="13077" max="13291" width="6.28515625" style="4" customWidth="1"/>
    <col min="13292" max="13292" width="18.7109375" style="4" customWidth="1"/>
    <col min="13293" max="13293" width="22" style="4" bestFit="1" customWidth="1"/>
    <col min="13294" max="13294" width="50.140625" style="4" bestFit="1" customWidth="1"/>
    <col min="13295" max="13295" width="37.42578125" style="4" customWidth="1"/>
    <col min="13296" max="13305" width="11.42578125" style="4" customWidth="1"/>
    <col min="13306" max="13322" width="0" style="4" hidden="1"/>
    <col min="13323" max="13323" width="11.42578125" style="4" customWidth="1"/>
    <col min="13324" max="13324" width="24" style="4" customWidth="1"/>
    <col min="13325" max="13325" width="11.42578125" style="4" customWidth="1"/>
    <col min="13326" max="13326" width="8.42578125" style="4" customWidth="1"/>
    <col min="13327" max="13332" width="23.28515625" style="4" bestFit="1" customWidth="1"/>
    <col min="13333" max="13547" width="6.28515625" style="4" customWidth="1"/>
    <col min="13548" max="13548" width="18.7109375" style="4" customWidth="1"/>
    <col min="13549" max="13549" width="22" style="4" bestFit="1" customWidth="1"/>
    <col min="13550" max="13550" width="50.140625" style="4" bestFit="1" customWidth="1"/>
    <col min="13551" max="13551" width="37.42578125" style="4" customWidth="1"/>
    <col min="13552" max="13561" width="11.42578125" style="4" customWidth="1"/>
    <col min="13562" max="13578" width="0" style="4" hidden="1"/>
    <col min="13579" max="13579" width="11.42578125" style="4" customWidth="1"/>
    <col min="13580" max="13580" width="24" style="4" customWidth="1"/>
    <col min="13581" max="13581" width="11.42578125" style="4" customWidth="1"/>
    <col min="13582" max="13582" width="8.42578125" style="4" customWidth="1"/>
    <col min="13583" max="13588" width="23.28515625" style="4" bestFit="1" customWidth="1"/>
    <col min="13589" max="13803" width="6.28515625" style="4" customWidth="1"/>
    <col min="13804" max="13804" width="18.7109375" style="4" customWidth="1"/>
    <col min="13805" max="13805" width="22" style="4" bestFit="1" customWidth="1"/>
    <col min="13806" max="13806" width="50.140625" style="4" bestFit="1" customWidth="1"/>
    <col min="13807" max="13807" width="37.42578125" style="4" customWidth="1"/>
    <col min="13808" max="13817" width="11.42578125" style="4" customWidth="1"/>
    <col min="13818" max="13834" width="0" style="4" hidden="1"/>
    <col min="13835" max="13835" width="11.42578125" style="4" customWidth="1"/>
    <col min="13836" max="13836" width="24" style="4" customWidth="1"/>
    <col min="13837" max="13837" width="11.42578125" style="4" customWidth="1"/>
    <col min="13838" max="13838" width="8.42578125" style="4" customWidth="1"/>
    <col min="13839" max="13844" width="23.28515625" style="4" bestFit="1" customWidth="1"/>
    <col min="13845" max="14059" width="6.28515625" style="4" customWidth="1"/>
    <col min="14060" max="14060" width="18.7109375" style="4" customWidth="1"/>
    <col min="14061" max="14061" width="22" style="4" bestFit="1" customWidth="1"/>
    <col min="14062" max="14062" width="50.140625" style="4" bestFit="1" customWidth="1"/>
    <col min="14063" max="14063" width="37.42578125" style="4" customWidth="1"/>
    <col min="14064" max="14073" width="11.42578125" style="4" customWidth="1"/>
    <col min="14074" max="14090" width="0" style="4" hidden="1"/>
    <col min="14091" max="14091" width="11.42578125" style="4" customWidth="1"/>
    <col min="14092" max="14092" width="24" style="4" customWidth="1"/>
    <col min="14093" max="14093" width="11.42578125" style="4" customWidth="1"/>
    <col min="14094" max="14094" width="8.42578125" style="4" customWidth="1"/>
    <col min="14095" max="14100" width="23.28515625" style="4" bestFit="1" customWidth="1"/>
    <col min="14101" max="14315" width="6.28515625" style="4" customWidth="1"/>
    <col min="14316" max="14316" width="18.7109375" style="4" customWidth="1"/>
    <col min="14317" max="14317" width="22" style="4" bestFit="1" customWidth="1"/>
    <col min="14318" max="14318" width="50.140625" style="4" bestFit="1" customWidth="1"/>
    <col min="14319" max="14319" width="37.42578125" style="4" customWidth="1"/>
    <col min="14320" max="14329" width="11.42578125" style="4" customWidth="1"/>
    <col min="14330" max="14346" width="0" style="4" hidden="1"/>
    <col min="14347" max="14347" width="11.42578125" style="4" customWidth="1"/>
    <col min="14348" max="14348" width="24" style="4" customWidth="1"/>
    <col min="14349" max="14349" width="11.42578125" style="4" customWidth="1"/>
    <col min="14350" max="14350" width="8.42578125" style="4" customWidth="1"/>
    <col min="14351" max="14356" width="23.28515625" style="4" bestFit="1" customWidth="1"/>
    <col min="14357" max="14571" width="6.28515625" style="4" customWidth="1"/>
    <col min="14572" max="14572" width="18.7109375" style="4" customWidth="1"/>
    <col min="14573" max="14573" width="22" style="4" bestFit="1" customWidth="1"/>
    <col min="14574" max="14574" width="50.140625" style="4" bestFit="1" customWidth="1"/>
    <col min="14575" max="14575" width="37.42578125" style="4" customWidth="1"/>
    <col min="14576" max="14585" width="11.42578125" style="4" customWidth="1"/>
    <col min="14586" max="14602" width="0" style="4" hidden="1"/>
    <col min="14603" max="14603" width="11.42578125" style="4" customWidth="1"/>
    <col min="14604" max="14604" width="24" style="4" customWidth="1"/>
    <col min="14605" max="14605" width="11.42578125" style="4" customWidth="1"/>
    <col min="14606" max="14606" width="8.42578125" style="4" customWidth="1"/>
    <col min="14607" max="14612" width="23.28515625" style="4" bestFit="1" customWidth="1"/>
    <col min="14613" max="14827" width="6.28515625" style="4" customWidth="1"/>
    <col min="14828" max="14828" width="18.7109375" style="4" customWidth="1"/>
    <col min="14829" max="14829" width="22" style="4" bestFit="1" customWidth="1"/>
    <col min="14830" max="14830" width="50.140625" style="4" bestFit="1" customWidth="1"/>
    <col min="14831" max="14831" width="37.42578125" style="4" customWidth="1"/>
    <col min="14832" max="14841" width="11.42578125" style="4" customWidth="1"/>
    <col min="14842" max="14858" width="0" style="4" hidden="1"/>
    <col min="14859" max="14859" width="11.42578125" style="4" customWidth="1"/>
    <col min="14860" max="14860" width="24" style="4" customWidth="1"/>
    <col min="14861" max="14861" width="11.42578125" style="4" customWidth="1"/>
    <col min="14862" max="14862" width="8.42578125" style="4" customWidth="1"/>
    <col min="14863" max="14868" width="23.28515625" style="4" bestFit="1" customWidth="1"/>
    <col min="14869" max="15083" width="6.28515625" style="4" customWidth="1"/>
    <col min="15084" max="15084" width="18.7109375" style="4" customWidth="1"/>
    <col min="15085" max="15085" width="22" style="4" bestFit="1" customWidth="1"/>
    <col min="15086" max="15086" width="50.140625" style="4" bestFit="1" customWidth="1"/>
    <col min="15087" max="15087" width="37.42578125" style="4" customWidth="1"/>
    <col min="15088" max="15097" width="11.42578125" style="4" customWidth="1"/>
    <col min="15098" max="15114" width="0" style="4" hidden="1"/>
    <col min="15115" max="15115" width="11.42578125" style="4" customWidth="1"/>
    <col min="15116" max="15116" width="24" style="4" customWidth="1"/>
    <col min="15117" max="15117" width="11.42578125" style="4" customWidth="1"/>
    <col min="15118" max="15118" width="8.42578125" style="4" customWidth="1"/>
    <col min="15119" max="15124" width="23.28515625" style="4" bestFit="1" customWidth="1"/>
    <col min="15125" max="15339" width="6.28515625" style="4" customWidth="1"/>
    <col min="15340" max="15340" width="18.7109375" style="4" customWidth="1"/>
    <col min="15341" max="15341" width="22" style="4" bestFit="1" customWidth="1"/>
    <col min="15342" max="15342" width="50.140625" style="4" bestFit="1" customWidth="1"/>
    <col min="15343" max="15343" width="37.42578125" style="4" customWidth="1"/>
    <col min="15344" max="15353" width="11.42578125" style="4" customWidth="1"/>
    <col min="15354" max="15370" width="0" style="4" hidden="1"/>
    <col min="15371" max="15371" width="11.42578125" style="4" customWidth="1"/>
    <col min="15372" max="15372" width="24" style="4" customWidth="1"/>
    <col min="15373" max="15373" width="11.42578125" style="4" customWidth="1"/>
    <col min="15374" max="15374" width="8.42578125" style="4" customWidth="1"/>
    <col min="15375" max="15380" width="23.28515625" style="4" bestFit="1" customWidth="1"/>
    <col min="15381" max="15595" width="6.28515625" style="4" customWidth="1"/>
    <col min="15596" max="15596" width="18.7109375" style="4" customWidth="1"/>
    <col min="15597" max="15597" width="22" style="4" bestFit="1" customWidth="1"/>
    <col min="15598" max="15598" width="50.140625" style="4" bestFit="1" customWidth="1"/>
    <col min="15599" max="15599" width="37.42578125" style="4" customWidth="1"/>
    <col min="15600" max="15609" width="11.42578125" style="4" customWidth="1"/>
    <col min="15610" max="15626" width="0" style="4" hidden="1"/>
    <col min="15627" max="15627" width="11.42578125" style="4" customWidth="1"/>
    <col min="15628" max="15628" width="24" style="4" customWidth="1"/>
    <col min="15629" max="15629" width="11.42578125" style="4" customWidth="1"/>
    <col min="15630" max="15630" width="8.42578125" style="4" customWidth="1"/>
    <col min="15631" max="15636" width="23.28515625" style="4" bestFit="1" customWidth="1"/>
    <col min="15637" max="15851" width="6.28515625" style="4" customWidth="1"/>
    <col min="15852" max="15852" width="18.7109375" style="4" customWidth="1"/>
    <col min="15853" max="15853" width="22" style="4" bestFit="1" customWidth="1"/>
    <col min="15854" max="15854" width="50.140625" style="4" bestFit="1" customWidth="1"/>
    <col min="15855" max="15855" width="37.42578125" style="4" customWidth="1"/>
    <col min="15856" max="15865" width="11.42578125" style="4" customWidth="1"/>
    <col min="15866" max="15882" width="0" style="4" hidden="1"/>
    <col min="15883" max="15883" width="11.42578125" style="4" customWidth="1"/>
    <col min="15884" max="15884" width="24" style="4" customWidth="1"/>
    <col min="15885" max="15885" width="11.42578125" style="4" customWidth="1"/>
    <col min="15886" max="15886" width="8.42578125" style="4" customWidth="1"/>
    <col min="15887" max="15892" width="23.28515625" style="4" bestFit="1" customWidth="1"/>
    <col min="15893" max="16107" width="6.28515625" style="4" customWidth="1"/>
    <col min="16108" max="16108" width="18.7109375" style="4" customWidth="1"/>
    <col min="16109" max="16109" width="22" style="4" bestFit="1" customWidth="1"/>
    <col min="16110" max="16110" width="50.140625" style="4" bestFit="1" customWidth="1"/>
    <col min="16111" max="16111" width="37.42578125" style="4" customWidth="1"/>
    <col min="16112" max="16121" width="11.42578125" style="4" customWidth="1"/>
    <col min="16122" max="16138" width="0" style="4" hidden="1"/>
    <col min="16139" max="16139" width="11.42578125" style="4" customWidth="1"/>
    <col min="16140" max="16140" width="24" style="4" customWidth="1"/>
    <col min="16141" max="16141" width="11.42578125" style="4" customWidth="1"/>
    <col min="16142" max="16142" width="8.42578125" style="4" customWidth="1"/>
    <col min="16143" max="16148" width="23.28515625" style="4" bestFit="1" customWidth="1"/>
    <col min="16149" max="16384" width="6.28515625" style="4" customWidth="1"/>
  </cols>
  <sheetData>
    <row r="1" spans="1:31" ht="11.25" customHeight="1" x14ac:dyDescent="0.2">
      <c r="A1" s="1"/>
      <c r="B1" s="2" t="str">
        <f>D8</f>
        <v>BBT-ASX</v>
      </c>
      <c r="C1" s="1"/>
      <c r="D1" s="1"/>
      <c r="E1" s="1"/>
      <c r="F1" s="1"/>
      <c r="G1" s="1"/>
      <c r="H1" s="1"/>
      <c r="I1" s="1"/>
      <c r="J1" s="1"/>
      <c r="K1" s="1"/>
      <c r="L1" s="1"/>
      <c r="M1" s="1"/>
      <c r="N1" s="1"/>
      <c r="O1" s="1"/>
      <c r="P1" s="1"/>
      <c r="Q1" s="1"/>
      <c r="R1" s="1"/>
    </row>
    <row r="2" spans="1:31" ht="21" customHeight="1" x14ac:dyDescent="0.2">
      <c r="A2" s="5" t="s">
        <v>415</v>
      </c>
      <c r="B2" s="5"/>
      <c r="C2" s="5"/>
      <c r="D2" s="6"/>
      <c r="E2" s="7"/>
      <c r="F2" s="7"/>
      <c r="G2" s="7"/>
      <c r="H2" s="7"/>
      <c r="I2" s="7"/>
      <c r="J2" s="7"/>
      <c r="K2" s="7"/>
      <c r="L2" s="7"/>
      <c r="M2" s="7"/>
      <c r="N2" s="7"/>
      <c r="O2" s="7"/>
      <c r="P2" s="7"/>
      <c r="Q2" s="7"/>
      <c r="R2" s="8" t="s">
        <v>416</v>
      </c>
      <c r="S2" s="9"/>
      <c r="T2" s="9"/>
      <c r="U2" s="9"/>
      <c r="V2" s="9"/>
      <c r="W2" s="9"/>
      <c r="X2" s="9"/>
      <c r="Y2" s="9"/>
      <c r="Z2" s="9"/>
      <c r="AA2" s="9"/>
      <c r="AB2" s="9"/>
      <c r="AC2" s="9"/>
      <c r="AD2" s="9"/>
      <c r="AE2" s="9"/>
    </row>
    <row r="3" spans="1:31" x14ac:dyDescent="0.2">
      <c r="A3" s="10"/>
      <c r="B3" s="10"/>
      <c r="C3" s="11" t="s">
        <v>417</v>
      </c>
      <c r="D3" s="12"/>
      <c r="E3" s="12" t="str">
        <f t="shared" ref="E3:Q3" si="0">+E114</f>
        <v>FY2022A</v>
      </c>
      <c r="F3" s="12" t="str">
        <f t="shared" si="0"/>
        <v>FY2023A</v>
      </c>
      <c r="G3" s="12" t="str">
        <f t="shared" si="0"/>
        <v>FY2024A</v>
      </c>
      <c r="H3" s="12" t="str">
        <f t="shared" si="0"/>
        <v>FY2025F</v>
      </c>
      <c r="I3" s="12" t="str">
        <f t="shared" si="0"/>
        <v>FY2026F</v>
      </c>
      <c r="J3" s="12" t="str">
        <f t="shared" si="0"/>
        <v>FY2027F</v>
      </c>
      <c r="K3" s="12" t="str">
        <f t="shared" si="0"/>
        <v>FY2028F</v>
      </c>
      <c r="L3" s="12" t="str">
        <f t="shared" si="0"/>
        <v>FY2029F</v>
      </c>
      <c r="M3" s="12" t="str">
        <f t="shared" si="0"/>
        <v>FY2030F</v>
      </c>
      <c r="N3" s="12" t="str">
        <f t="shared" si="0"/>
        <v>FY2031F</v>
      </c>
      <c r="O3" s="12" t="str">
        <f t="shared" si="0"/>
        <v>FY2032F</v>
      </c>
      <c r="P3" s="12" t="str">
        <f t="shared" si="0"/>
        <v>FY2033F</v>
      </c>
      <c r="Q3" s="12" t="str">
        <f t="shared" si="0"/>
        <v>FY2034F</v>
      </c>
      <c r="R3" s="8"/>
      <c r="S3" s="13">
        <v>2022</v>
      </c>
      <c r="T3" s="13">
        <f t="shared" ref="T3:AE3" si="1">S3+1</f>
        <v>2023</v>
      </c>
      <c r="U3" s="13">
        <f t="shared" si="1"/>
        <v>2024</v>
      </c>
      <c r="V3" s="13">
        <f t="shared" si="1"/>
        <v>2025</v>
      </c>
      <c r="W3" s="13">
        <f t="shared" si="1"/>
        <v>2026</v>
      </c>
      <c r="X3" s="13">
        <f t="shared" si="1"/>
        <v>2027</v>
      </c>
      <c r="Y3" s="13">
        <f t="shared" si="1"/>
        <v>2028</v>
      </c>
      <c r="Z3" s="13">
        <f t="shared" si="1"/>
        <v>2029</v>
      </c>
      <c r="AA3" s="13">
        <f t="shared" si="1"/>
        <v>2030</v>
      </c>
      <c r="AB3" s="13">
        <f t="shared" si="1"/>
        <v>2031</v>
      </c>
      <c r="AC3" s="13">
        <f t="shared" si="1"/>
        <v>2032</v>
      </c>
      <c r="AD3" s="13">
        <f t="shared" si="1"/>
        <v>2033</v>
      </c>
      <c r="AE3" s="13">
        <f t="shared" si="1"/>
        <v>2034</v>
      </c>
    </row>
    <row r="4" spans="1:31" x14ac:dyDescent="0.2">
      <c r="A4" s="14" t="s">
        <v>418</v>
      </c>
      <c r="B4" s="14"/>
      <c r="C4" s="15"/>
      <c r="D4" s="14" t="s">
        <v>419</v>
      </c>
      <c r="E4" s="16"/>
      <c r="F4" s="16"/>
      <c r="G4" s="16"/>
      <c r="H4" s="16"/>
      <c r="I4" s="16"/>
      <c r="J4" s="16"/>
      <c r="K4" s="16"/>
      <c r="L4" s="16"/>
      <c r="M4" s="16"/>
      <c r="N4" s="16"/>
      <c r="O4" s="16"/>
      <c r="P4" s="16"/>
      <c r="Q4" s="16"/>
      <c r="R4" s="16"/>
    </row>
    <row r="5" spans="1:31" x14ac:dyDescent="0.2">
      <c r="A5" s="17" t="s">
        <v>420</v>
      </c>
      <c r="B5" s="17"/>
      <c r="C5" s="18" t="s">
        <v>421</v>
      </c>
      <c r="D5" s="19" t="s">
        <v>422</v>
      </c>
      <c r="E5" s="16"/>
      <c r="F5" s="16"/>
      <c r="G5" s="16"/>
      <c r="H5" s="16"/>
      <c r="I5" s="16"/>
      <c r="J5" s="16"/>
      <c r="K5" s="16"/>
      <c r="L5" s="16"/>
      <c r="M5" s="16"/>
      <c r="N5" s="16"/>
      <c r="O5" s="16"/>
      <c r="P5" s="16"/>
      <c r="Q5" s="16"/>
      <c r="R5" s="16"/>
    </row>
    <row r="6" spans="1:31" x14ac:dyDescent="0.2">
      <c r="A6" s="17" t="s">
        <v>423</v>
      </c>
      <c r="B6" s="17"/>
      <c r="C6" s="20" t="s">
        <v>424</v>
      </c>
      <c r="D6" s="21" t="s">
        <v>425</v>
      </c>
      <c r="E6" s="22"/>
      <c r="F6" s="22"/>
      <c r="G6" s="22"/>
      <c r="H6" s="22"/>
      <c r="I6" s="22"/>
      <c r="J6" s="22"/>
      <c r="K6" s="22"/>
      <c r="L6" s="22"/>
      <c r="M6" s="22"/>
      <c r="N6" s="22"/>
      <c r="O6" s="22"/>
      <c r="P6" s="22"/>
      <c r="Q6" s="22"/>
      <c r="R6" s="23"/>
    </row>
    <row r="7" spans="1:31" ht="12.95" customHeight="1" x14ac:dyDescent="0.2">
      <c r="A7" s="17" t="s">
        <v>426</v>
      </c>
      <c r="B7" s="17"/>
      <c r="C7" s="20" t="s">
        <v>427</v>
      </c>
      <c r="D7" s="24">
        <v>1</v>
      </c>
      <c r="E7" s="22"/>
      <c r="F7" s="22"/>
      <c r="G7" s="22"/>
      <c r="H7" s="22"/>
      <c r="I7" s="22"/>
      <c r="J7" s="22"/>
      <c r="K7" s="22"/>
      <c r="L7" s="22"/>
      <c r="M7" s="22"/>
      <c r="N7" s="22"/>
      <c r="O7" s="22"/>
      <c r="P7" s="22"/>
      <c r="Q7" s="22"/>
      <c r="R7" s="23"/>
    </row>
    <row r="8" spans="1:31" ht="12.95" customHeight="1" x14ac:dyDescent="0.2">
      <c r="A8" s="17" t="s">
        <v>428</v>
      </c>
      <c r="B8" s="17"/>
      <c r="C8" s="18" t="s">
        <v>387</v>
      </c>
      <c r="D8" s="25" t="s">
        <v>388</v>
      </c>
      <c r="E8" s="16"/>
      <c r="F8" s="16"/>
      <c r="G8" s="16"/>
      <c r="H8" s="16"/>
      <c r="I8" s="16"/>
      <c r="J8" s="16"/>
      <c r="K8" s="16"/>
      <c r="L8" s="16"/>
      <c r="M8" s="16"/>
      <c r="N8" s="16"/>
      <c r="O8" s="16"/>
      <c r="P8" s="16"/>
      <c r="Q8" s="16"/>
      <c r="R8" s="16"/>
    </row>
    <row r="9" spans="1:31" ht="12.95" customHeight="1" x14ac:dyDescent="0.2">
      <c r="A9" s="17" t="s">
        <v>429</v>
      </c>
      <c r="B9" s="17"/>
      <c r="C9" s="20" t="s">
        <v>430</v>
      </c>
      <c r="D9" s="25">
        <v>1000000</v>
      </c>
      <c r="E9" s="22"/>
      <c r="F9" s="22"/>
      <c r="G9" s="22"/>
      <c r="H9" s="22"/>
      <c r="I9" s="22"/>
      <c r="J9" s="22"/>
      <c r="K9" s="22"/>
      <c r="L9" s="22"/>
      <c r="M9" s="22"/>
      <c r="N9" s="22"/>
      <c r="O9" s="22"/>
      <c r="P9" s="22"/>
      <c r="Q9" s="22"/>
      <c r="R9" s="23"/>
    </row>
    <row r="10" spans="1:31" ht="12.95" customHeight="1" x14ac:dyDescent="0.2">
      <c r="A10" s="17" t="s">
        <v>431</v>
      </c>
      <c r="B10" s="17"/>
      <c r="C10" s="20" t="s">
        <v>432</v>
      </c>
      <c r="D10" s="25" t="s">
        <v>53</v>
      </c>
      <c r="E10" s="22"/>
      <c r="F10" s="22"/>
      <c r="G10" s="22"/>
      <c r="H10" s="22"/>
      <c r="I10" s="22"/>
      <c r="J10" s="22"/>
      <c r="K10" s="22"/>
      <c r="L10" s="22"/>
      <c r="M10" s="22"/>
      <c r="N10" s="22"/>
      <c r="O10" s="22"/>
      <c r="P10" s="22"/>
      <c r="Q10" s="22"/>
      <c r="R10" s="23"/>
    </row>
    <row r="11" spans="1:31" ht="12.95" customHeight="1" x14ac:dyDescent="0.2">
      <c r="A11" s="26" t="s">
        <v>433</v>
      </c>
      <c r="B11" s="26"/>
      <c r="C11" s="20" t="s">
        <v>434</v>
      </c>
      <c r="D11" s="25" t="s">
        <v>383</v>
      </c>
      <c r="E11" s="22"/>
      <c r="F11" s="22"/>
      <c r="G11" s="22"/>
      <c r="H11" s="22"/>
      <c r="I11" s="22"/>
      <c r="J11" s="22"/>
      <c r="K11" s="22"/>
      <c r="L11" s="22"/>
      <c r="M11" s="22"/>
      <c r="N11" s="22"/>
      <c r="O11" s="22"/>
      <c r="P11" s="22"/>
      <c r="Q11" s="22"/>
      <c r="R11" s="27"/>
    </row>
    <row r="12" spans="1:31" ht="12.95" customHeight="1" x14ac:dyDescent="0.2">
      <c r="A12" s="26"/>
      <c r="B12" s="26"/>
      <c r="C12" s="20"/>
      <c r="D12" s="28"/>
      <c r="E12" s="22"/>
      <c r="F12" s="22"/>
      <c r="G12" s="22"/>
      <c r="H12" s="22"/>
      <c r="I12" s="22"/>
      <c r="J12" s="22"/>
      <c r="K12" s="22"/>
      <c r="L12" s="22"/>
      <c r="M12" s="22"/>
      <c r="N12" s="22"/>
      <c r="O12" s="22"/>
      <c r="P12" s="22"/>
      <c r="Q12" s="22"/>
      <c r="R12" s="27"/>
    </row>
    <row r="13" spans="1:31" ht="12.95" customHeight="1" x14ac:dyDescent="0.2">
      <c r="A13" s="26" t="s">
        <v>435</v>
      </c>
      <c r="B13" s="29" t="s">
        <v>436</v>
      </c>
      <c r="C13" s="20" t="s">
        <v>8</v>
      </c>
      <c r="D13" s="32">
        <f ca="1">HY!D607</f>
        <v>0.27</v>
      </c>
      <c r="E13" s="22"/>
      <c r="F13" s="22"/>
      <c r="G13" s="22"/>
      <c r="H13" s="22"/>
      <c r="I13" s="22"/>
      <c r="J13" s="22"/>
      <c r="K13" s="22"/>
      <c r="L13" s="22"/>
      <c r="M13" s="22"/>
      <c r="N13" s="22"/>
      <c r="O13" s="22"/>
      <c r="P13" s="22"/>
      <c r="Q13" s="22"/>
      <c r="R13" s="31" t="str">
        <f ca="1">_xll.BLUEMATRIX2("/servlet/excelData",$D13,$B$1,$B13)</f>
        <v>#</v>
      </c>
    </row>
    <row r="14" spans="1:31" ht="12.95" customHeight="1" x14ac:dyDescent="0.2">
      <c r="A14" s="26" t="s">
        <v>437</v>
      </c>
      <c r="B14" s="29" t="s">
        <v>438</v>
      </c>
      <c r="C14" s="20" t="s">
        <v>439</v>
      </c>
      <c r="D14" s="25" t="s">
        <v>440</v>
      </c>
      <c r="E14" s="22"/>
      <c r="F14" s="22"/>
      <c r="G14" s="22"/>
      <c r="H14" s="22"/>
      <c r="I14" s="22"/>
      <c r="J14" s="22"/>
      <c r="K14" s="22"/>
      <c r="L14" s="22"/>
      <c r="M14" s="22"/>
      <c r="N14" s="22"/>
      <c r="O14" s="22"/>
      <c r="P14" s="22"/>
      <c r="Q14" s="22"/>
      <c r="R14" s="31" t="str">
        <f>_xll.BLUEMATRIX2("/servlet/excelData",$D14,$B$1,$B14)</f>
        <v>#</v>
      </c>
    </row>
    <row r="15" spans="1:31" ht="12.95" customHeight="1" x14ac:dyDescent="0.2">
      <c r="A15" s="26" t="s">
        <v>441</v>
      </c>
      <c r="B15" s="29" t="s">
        <v>442</v>
      </c>
      <c r="C15" s="20" t="s">
        <v>291</v>
      </c>
      <c r="D15" s="406">
        <f ca="1">HY!D565</f>
        <v>1054.306313</v>
      </c>
      <c r="E15" s="22"/>
      <c r="F15" s="22"/>
      <c r="G15" s="22"/>
      <c r="H15" s="22"/>
      <c r="I15" s="22"/>
      <c r="J15" s="22"/>
      <c r="K15" s="22"/>
      <c r="L15" s="22"/>
      <c r="M15" s="22"/>
      <c r="N15" s="22"/>
      <c r="O15" s="22"/>
      <c r="P15" s="22"/>
      <c r="Q15" s="22"/>
      <c r="R15" s="31" t="str">
        <f ca="1">_xll.BLUEMATRIX2("/servlet/excelData",$D15,$B$1,$B15)</f>
        <v>#</v>
      </c>
    </row>
    <row r="16" spans="1:31" ht="12.95" customHeight="1" x14ac:dyDescent="0.2">
      <c r="A16" s="17" t="s">
        <v>443</v>
      </c>
      <c r="B16" s="29" t="s">
        <v>444</v>
      </c>
      <c r="C16" s="20" t="s">
        <v>445</v>
      </c>
      <c r="D16" s="25">
        <v>42.66</v>
      </c>
      <c r="E16" s="22"/>
      <c r="F16" s="22"/>
      <c r="G16" s="22"/>
      <c r="H16" s="22"/>
      <c r="I16" s="22"/>
      <c r="J16" s="22"/>
      <c r="K16" s="22"/>
      <c r="L16" s="22"/>
      <c r="M16" s="22"/>
      <c r="N16" s="22"/>
      <c r="O16" s="22"/>
      <c r="P16" s="22"/>
      <c r="Q16" s="22"/>
      <c r="R16" s="31" t="str">
        <f>_xll.BLUEMATRIX2("/servlet/excelData",$D16,$B$1,$B16)</f>
        <v>#</v>
      </c>
    </row>
    <row r="17" spans="1:18" ht="12.95" customHeight="1" x14ac:dyDescent="0.2">
      <c r="A17" s="17"/>
      <c r="B17" s="29" t="s">
        <v>446</v>
      </c>
      <c r="C17" s="20" t="s">
        <v>447</v>
      </c>
      <c r="D17" s="608">
        <v>0.19500000000000001</v>
      </c>
      <c r="R17" s="31" t="str">
        <f>_xll.BLUEMATRIX2("/servlet/excelData",$D17,$B$1,$B17)</f>
        <v>#</v>
      </c>
    </row>
    <row r="18" spans="1:18" ht="12.95" customHeight="1" x14ac:dyDescent="0.2">
      <c r="A18" s="17"/>
      <c r="B18" s="29"/>
      <c r="C18" s="20" t="s">
        <v>448</v>
      </c>
      <c r="D18" s="32"/>
      <c r="E18" s="32"/>
      <c r="F18" s="32"/>
      <c r="G18" s="32"/>
      <c r="H18" s="32">
        <f>FY!H302</f>
        <v>0.27</v>
      </c>
      <c r="I18" s="32">
        <f>FY!I302</f>
        <v>0.19</v>
      </c>
      <c r="J18" s="32">
        <f>FY!J302</f>
        <v>0.20108204687500003</v>
      </c>
      <c r="K18" s="32">
        <f>FY!K302</f>
        <v>0.21281047144968268</v>
      </c>
      <c r="L18" s="32">
        <f>FY!L302</f>
        <v>0.22522297471334707</v>
      </c>
      <c r="M18" s="32">
        <f>FY!M302</f>
        <v>0.23835945662440103</v>
      </c>
      <c r="N18" s="32">
        <f>FY!N302</f>
        <v>0.25226214436867023</v>
      </c>
      <c r="O18" s="32">
        <f>FY!O302</f>
        <v>0.26697572809857351</v>
      </c>
      <c r="P18" s="32">
        <f>FY!P302</f>
        <v>0.28254750458949801</v>
      </c>
      <c r="Q18" s="32">
        <f>FY!Q302</f>
        <v>0.29902752927515647</v>
      </c>
      <c r="R18" s="33"/>
    </row>
    <row r="19" spans="1:18" ht="12.95" customHeight="1" x14ac:dyDescent="0.2">
      <c r="A19" s="17"/>
      <c r="B19" s="29"/>
      <c r="C19" s="20"/>
      <c r="D19" s="34"/>
      <c r="E19" s="22"/>
      <c r="F19" s="22"/>
      <c r="G19" s="22"/>
      <c r="H19" s="22"/>
      <c r="I19" s="22"/>
      <c r="J19" s="22"/>
      <c r="K19" s="22"/>
      <c r="L19" s="22"/>
      <c r="M19" s="22"/>
      <c r="N19" s="22"/>
      <c r="O19" s="22"/>
      <c r="P19" s="22"/>
      <c r="Q19" s="22"/>
      <c r="R19" s="35"/>
    </row>
    <row r="20" spans="1:18" ht="12.95" customHeight="1" x14ac:dyDescent="0.2">
      <c r="A20" s="17"/>
      <c r="B20" s="29"/>
      <c r="C20" s="36" t="s">
        <v>449</v>
      </c>
      <c r="D20" s="34"/>
      <c r="E20" s="22"/>
      <c r="F20" s="22"/>
      <c r="G20" s="22"/>
      <c r="H20" s="22"/>
      <c r="I20" s="22"/>
      <c r="J20" s="22"/>
      <c r="K20" s="22"/>
      <c r="L20" s="22"/>
      <c r="M20" s="22"/>
      <c r="N20" s="22"/>
      <c r="O20" s="22"/>
      <c r="P20" s="22"/>
      <c r="Q20" s="22"/>
      <c r="R20" s="35"/>
    </row>
    <row r="21" spans="1:18" ht="12.95" customHeight="1" x14ac:dyDescent="0.2">
      <c r="A21" s="17"/>
      <c r="B21" s="29" t="s">
        <v>450</v>
      </c>
      <c r="C21" s="20" t="s">
        <v>451</v>
      </c>
      <c r="D21" s="37">
        <f ca="1">(D13/D17-1)*100</f>
        <v>38.46153846153846</v>
      </c>
      <c r="E21" s="22"/>
      <c r="F21" s="22"/>
      <c r="G21" s="22"/>
      <c r="H21" s="22"/>
      <c r="I21" s="22"/>
      <c r="J21" s="22"/>
      <c r="K21" s="22"/>
      <c r="L21" s="22"/>
      <c r="M21" s="22"/>
      <c r="N21" s="22"/>
      <c r="O21" s="22"/>
      <c r="P21" s="22"/>
      <c r="Q21" s="22"/>
      <c r="R21" s="31" t="str">
        <f ca="1">_xll.BLUEMATRIX2("/servlet/excelData",$D21,$B$1,$B21)</f>
        <v>#</v>
      </c>
    </row>
    <row r="22" spans="1:18" ht="12.95" customHeight="1" x14ac:dyDescent="0.2">
      <c r="A22" s="17"/>
      <c r="B22" s="29" t="s">
        <v>452</v>
      </c>
      <c r="C22" s="20" t="s">
        <v>453</v>
      </c>
      <c r="D22" s="37">
        <f>I303*100</f>
        <v>0</v>
      </c>
      <c r="E22" s="22"/>
      <c r="F22" s="22"/>
      <c r="G22" s="22"/>
      <c r="H22" s="22"/>
      <c r="I22" s="22"/>
      <c r="J22" s="22"/>
      <c r="K22" s="22"/>
      <c r="L22" s="22"/>
      <c r="M22" s="22"/>
      <c r="N22" s="22"/>
      <c r="O22" s="22"/>
      <c r="P22" s="22"/>
      <c r="Q22" s="22"/>
      <c r="R22" s="31" t="str">
        <f>_xll.BLUEMATRIX2("/servlet/excelData",$D22,$B$1,$B22)</f>
        <v>#</v>
      </c>
    </row>
    <row r="23" spans="1:18" ht="12.95" customHeight="1" x14ac:dyDescent="0.2">
      <c r="A23" s="17"/>
      <c r="B23" s="29" t="s">
        <v>454</v>
      </c>
      <c r="C23" s="20" t="s">
        <v>455</v>
      </c>
      <c r="D23" s="37">
        <f ca="1">D21+D22</f>
        <v>38.46153846153846</v>
      </c>
      <c r="E23" s="22"/>
      <c r="F23" s="22"/>
      <c r="G23" s="22"/>
      <c r="H23" s="22"/>
      <c r="I23" s="22"/>
      <c r="J23" s="22"/>
      <c r="K23" s="22"/>
      <c r="L23" s="22"/>
      <c r="M23" s="22"/>
      <c r="N23" s="22"/>
      <c r="O23" s="22"/>
      <c r="P23" s="22"/>
      <c r="Q23" s="22"/>
      <c r="R23" s="31" t="str">
        <f ca="1">_xll.BLUEMATRIX2("/servlet/excelData",$D23,$B$1,$B23)</f>
        <v>#</v>
      </c>
    </row>
    <row r="24" spans="1:18" ht="12.95" customHeight="1" x14ac:dyDescent="0.2">
      <c r="A24" s="17"/>
      <c r="B24" s="29"/>
      <c r="C24" s="20"/>
      <c r="D24" s="34"/>
      <c r="E24" s="22"/>
      <c r="F24" s="22"/>
      <c r="G24" s="22"/>
      <c r="H24" s="22"/>
      <c r="I24" s="22"/>
      <c r="J24" s="22"/>
      <c r="K24" s="22"/>
      <c r="L24" s="22"/>
      <c r="M24" s="22"/>
      <c r="N24" s="22"/>
      <c r="O24" s="22"/>
      <c r="P24" s="22"/>
      <c r="Q24" s="22"/>
      <c r="R24" s="33"/>
    </row>
    <row r="25" spans="1:18" ht="12.95" customHeight="1" x14ac:dyDescent="0.2">
      <c r="A25" s="17"/>
      <c r="B25" s="29"/>
      <c r="C25" s="36" t="s">
        <v>456</v>
      </c>
      <c r="D25" s="34"/>
      <c r="E25" s="22"/>
      <c r="F25" s="22"/>
      <c r="G25" s="22"/>
      <c r="H25" s="22"/>
      <c r="I25" s="22"/>
      <c r="J25" s="22"/>
      <c r="K25" s="22"/>
      <c r="L25" s="22"/>
      <c r="M25" s="22"/>
      <c r="N25" s="22"/>
      <c r="O25" s="22"/>
      <c r="P25" s="22"/>
      <c r="Q25" s="22"/>
      <c r="R25" s="33"/>
    </row>
    <row r="26" spans="1:18" ht="12.95" customHeight="1" x14ac:dyDescent="0.2">
      <c r="A26" s="17"/>
      <c r="B26" s="4" t="s">
        <v>457</v>
      </c>
      <c r="C26" s="29" t="s">
        <v>458</v>
      </c>
      <c r="D26" s="38"/>
      <c r="E26" s="22"/>
      <c r="F26" s="22"/>
      <c r="G26" s="22"/>
      <c r="H26" s="22"/>
      <c r="I26" s="22"/>
      <c r="J26" s="22"/>
      <c r="K26" s="22"/>
      <c r="L26" s="22"/>
      <c r="M26" s="22"/>
      <c r="N26" s="22"/>
      <c r="O26" s="22"/>
      <c r="P26" s="22"/>
      <c r="Q26" s="22"/>
      <c r="R26" s="33"/>
    </row>
    <row r="27" spans="1:18" ht="12.95" customHeight="1" x14ac:dyDescent="0.2">
      <c r="A27" s="17"/>
      <c r="B27" s="29" t="s">
        <v>459</v>
      </c>
      <c r="C27" s="20" t="s">
        <v>460</v>
      </c>
      <c r="D27" s="38"/>
      <c r="E27" s="22"/>
      <c r="F27" s="22"/>
      <c r="G27" s="22"/>
      <c r="H27" s="22"/>
      <c r="I27" s="22"/>
      <c r="J27" s="22"/>
      <c r="K27" s="22"/>
      <c r="L27" s="22"/>
      <c r="M27" s="22"/>
      <c r="N27" s="22"/>
      <c r="O27" s="22"/>
      <c r="P27" s="22"/>
      <c r="Q27" s="22"/>
      <c r="R27" s="31"/>
    </row>
    <row r="28" spans="1:18" ht="12.95" customHeight="1" x14ac:dyDescent="0.2">
      <c r="A28" s="17"/>
      <c r="B28" s="29" t="s">
        <v>461</v>
      </c>
      <c r="C28" s="20" t="s">
        <v>462</v>
      </c>
      <c r="D28" s="38">
        <f ca="1">D17*D15</f>
        <v>205.58973103500003</v>
      </c>
      <c r="E28" s="22"/>
      <c r="F28" s="22"/>
      <c r="G28" s="22"/>
      <c r="H28" s="22"/>
      <c r="I28" s="22"/>
      <c r="J28" s="22"/>
      <c r="K28" s="22"/>
      <c r="L28" s="22"/>
      <c r="M28" s="22"/>
      <c r="N28" s="22"/>
      <c r="O28" s="22"/>
      <c r="P28" s="22"/>
      <c r="Q28" s="22"/>
      <c r="R28" s="31" t="str">
        <f ca="1">_xll.BLUEMATRIX2("/servlet/excelData",$D28,$B$1,$B28)</f>
        <v>#</v>
      </c>
    </row>
    <row r="29" spans="1:18" ht="12.95" customHeight="1" x14ac:dyDescent="0.2">
      <c r="A29" s="17"/>
      <c r="B29" s="29" t="s">
        <v>444</v>
      </c>
      <c r="C29" s="20" t="s">
        <v>463</v>
      </c>
      <c r="D29" s="38"/>
      <c r="E29" s="22"/>
      <c r="F29" s="22"/>
      <c r="G29" s="22"/>
      <c r="H29" s="22"/>
      <c r="I29" s="22"/>
      <c r="J29" s="22"/>
      <c r="K29" s="22"/>
      <c r="L29" s="22"/>
      <c r="M29" s="22"/>
      <c r="N29" s="22"/>
      <c r="O29" s="22"/>
      <c r="P29" s="22"/>
      <c r="Q29" s="22"/>
      <c r="R29" s="33"/>
    </row>
    <row r="30" spans="1:18" ht="12.95" customHeight="1" x14ac:dyDescent="0.2">
      <c r="A30" s="17"/>
      <c r="B30" s="29" t="s">
        <v>464</v>
      </c>
      <c r="C30" s="20" t="s">
        <v>465</v>
      </c>
      <c r="D30" s="38"/>
      <c r="E30" s="22"/>
      <c r="F30" s="22"/>
      <c r="G30" s="22"/>
      <c r="H30" s="22"/>
      <c r="I30" s="22"/>
      <c r="J30" s="22"/>
      <c r="K30" s="22"/>
      <c r="L30" s="22"/>
      <c r="M30" s="22"/>
      <c r="N30" s="22"/>
      <c r="O30" s="22"/>
      <c r="P30" s="22"/>
      <c r="Q30" s="22"/>
      <c r="R30" s="33"/>
    </row>
    <row r="31" spans="1:18" ht="12.95" customHeight="1" x14ac:dyDescent="0.2">
      <c r="A31" s="17" t="s">
        <v>466</v>
      </c>
      <c r="B31" s="29"/>
      <c r="C31" s="20"/>
      <c r="D31" s="39"/>
      <c r="E31" s="22"/>
      <c r="F31" s="22"/>
      <c r="G31" s="22"/>
      <c r="H31" s="22"/>
      <c r="I31" s="22"/>
      <c r="J31" s="22"/>
      <c r="K31" s="22"/>
      <c r="L31" s="22"/>
      <c r="M31" s="22"/>
      <c r="N31" s="22"/>
      <c r="O31" s="22"/>
      <c r="P31" s="22"/>
      <c r="Q31" s="22"/>
      <c r="R31" s="33"/>
    </row>
    <row r="32" spans="1:18" ht="12.95" customHeight="1" x14ac:dyDescent="0.2">
      <c r="A32" s="17"/>
      <c r="B32" s="29"/>
      <c r="C32" s="20"/>
      <c r="D32" s="40"/>
      <c r="E32" s="22"/>
      <c r="F32" s="22"/>
      <c r="G32" s="22"/>
      <c r="H32" s="22"/>
      <c r="I32" s="22"/>
      <c r="J32" s="22"/>
      <c r="K32" s="22"/>
      <c r="L32" s="22"/>
      <c r="M32" s="22"/>
      <c r="N32" s="22"/>
      <c r="O32" s="22"/>
      <c r="P32" s="22"/>
      <c r="Q32" s="22"/>
      <c r="R32" s="33"/>
    </row>
    <row r="33" spans="1:18" ht="12.95" customHeight="1" x14ac:dyDescent="0.2">
      <c r="A33" s="26"/>
      <c r="B33" s="29"/>
      <c r="C33" s="20"/>
      <c r="D33" s="41"/>
      <c r="E33" s="22"/>
      <c r="F33" s="22"/>
      <c r="G33" s="22"/>
      <c r="H33" s="22"/>
      <c r="I33" s="22"/>
      <c r="J33" s="22"/>
      <c r="K33" s="22"/>
      <c r="L33" s="22"/>
      <c r="M33" s="22"/>
      <c r="N33" s="22"/>
      <c r="O33" s="22"/>
      <c r="P33" s="22"/>
      <c r="Q33" s="22"/>
      <c r="R33" s="33"/>
    </row>
    <row r="34" spans="1:18" ht="12.95" customHeight="1" x14ac:dyDescent="0.2">
      <c r="A34" s="26"/>
      <c r="B34" s="26"/>
      <c r="C34" s="36" t="s">
        <v>467</v>
      </c>
      <c r="D34" s="41"/>
      <c r="E34" s="22"/>
      <c r="F34" s="22"/>
      <c r="G34" s="22"/>
      <c r="H34" s="22"/>
      <c r="I34" s="22"/>
      <c r="J34" s="22"/>
      <c r="K34" s="22"/>
      <c r="L34" s="22"/>
      <c r="M34" s="22"/>
      <c r="N34" s="22"/>
      <c r="O34" s="22"/>
      <c r="P34" s="22"/>
      <c r="Q34" s="22"/>
      <c r="R34" s="33"/>
    </row>
    <row r="35" spans="1:18" ht="12.95" customHeight="1" outlineLevel="1" x14ac:dyDescent="0.2">
      <c r="A35" s="26" t="s">
        <v>468</v>
      </c>
      <c r="B35" s="42" t="s">
        <v>469</v>
      </c>
      <c r="C35" s="20" t="s">
        <v>470</v>
      </c>
      <c r="D35" s="32"/>
      <c r="E35" s="22"/>
      <c r="F35" s="22"/>
      <c r="G35" s="22"/>
      <c r="H35" s="22"/>
      <c r="I35" s="22"/>
      <c r="J35" s="22"/>
      <c r="K35" s="22"/>
      <c r="L35" s="22"/>
      <c r="M35" s="22"/>
      <c r="N35" s="22"/>
      <c r="O35" s="22"/>
      <c r="P35" s="22"/>
      <c r="Q35" s="22"/>
      <c r="R35" s="31" t="str">
        <f>_xll.BLUEMATRIX2("/servlet/excelData",$D35,$B$1,$B35)</f>
        <v>#</v>
      </c>
    </row>
    <row r="36" spans="1:18" ht="12.95" customHeight="1" outlineLevel="1" x14ac:dyDescent="0.2">
      <c r="A36" s="26" t="s">
        <v>471</v>
      </c>
      <c r="B36" s="42" t="s">
        <v>472</v>
      </c>
      <c r="C36" s="20" t="s">
        <v>473</v>
      </c>
      <c r="D36" s="30"/>
      <c r="E36" s="22"/>
      <c r="F36" s="22"/>
      <c r="G36" s="22"/>
      <c r="H36" s="22"/>
      <c r="I36" s="22"/>
      <c r="J36" s="22"/>
      <c r="K36" s="22"/>
      <c r="L36" s="22"/>
      <c r="M36" s="22"/>
      <c r="N36" s="22"/>
      <c r="O36" s="22"/>
      <c r="P36" s="22"/>
      <c r="Q36" s="22"/>
      <c r="R36" s="31" t="str">
        <f>_xll.BLUEMATRIX2("/servlet/excelData",$D36,$B$1,$B36)</f>
        <v>#</v>
      </c>
    </row>
    <row r="37" spans="1:18" ht="12.95" customHeight="1" outlineLevel="1" x14ac:dyDescent="0.2">
      <c r="A37" s="26" t="s">
        <v>474</v>
      </c>
      <c r="B37" s="42" t="s">
        <v>475</v>
      </c>
      <c r="C37" s="20" t="s">
        <v>476</v>
      </c>
      <c r="D37" s="30"/>
      <c r="E37" s="22"/>
      <c r="F37" s="22"/>
      <c r="G37" s="22"/>
      <c r="H37" s="22"/>
      <c r="I37" s="22"/>
      <c r="J37" s="22"/>
      <c r="K37" s="22"/>
      <c r="L37" s="22"/>
      <c r="M37" s="22"/>
      <c r="N37" s="22"/>
      <c r="O37" s="22"/>
      <c r="P37" s="22"/>
      <c r="Q37" s="22"/>
      <c r="R37" s="31" t="str">
        <f>_xll.BLUEMATRIX2("/servlet/excelData",$D37,$B$1,$B37)</f>
        <v>#</v>
      </c>
    </row>
    <row r="38" spans="1:18" ht="12.95" customHeight="1" outlineLevel="1" x14ac:dyDescent="0.2">
      <c r="A38" s="26" t="s">
        <v>477</v>
      </c>
      <c r="B38" s="42" t="s">
        <v>478</v>
      </c>
      <c r="C38" s="20" t="s">
        <v>479</v>
      </c>
      <c r="D38" s="30"/>
      <c r="E38" s="22"/>
      <c r="F38" s="43"/>
      <c r="G38" s="22"/>
      <c r="H38" s="43"/>
      <c r="I38" s="43"/>
      <c r="J38" s="43"/>
      <c r="K38" s="43"/>
      <c r="L38" s="43"/>
      <c r="M38" s="43"/>
      <c r="N38" s="43"/>
      <c r="O38" s="43"/>
      <c r="P38" s="43"/>
      <c r="Q38" s="43"/>
      <c r="R38" s="31" t="str">
        <f>_xll.BLUEMATRIX2("/servlet/excelData",$D38,$B$1,$B38)</f>
        <v>#</v>
      </c>
    </row>
    <row r="39" spans="1:18" ht="12.95" customHeight="1" outlineLevel="1" x14ac:dyDescent="0.2">
      <c r="A39" s="26" t="s">
        <v>480</v>
      </c>
      <c r="B39" s="42" t="s">
        <v>436</v>
      </c>
      <c r="C39" s="20" t="s">
        <v>481</v>
      </c>
      <c r="D39" s="30"/>
      <c r="E39" s="22"/>
      <c r="F39" s="22"/>
      <c r="G39" s="22"/>
      <c r="H39" s="22"/>
      <c r="I39" s="22"/>
      <c r="J39" s="22"/>
      <c r="K39" s="22"/>
      <c r="L39" s="22"/>
      <c r="M39" s="22"/>
      <c r="N39" s="22"/>
      <c r="O39" s="22"/>
      <c r="P39" s="22"/>
      <c r="Q39" s="22"/>
      <c r="R39" s="31" t="str">
        <f>_xll.BLUEMATRIX2("/servlet/excelData",$D39,$B$1,$B39)</f>
        <v>#</v>
      </c>
    </row>
    <row r="40" spans="1:18" ht="12.95" customHeight="1" outlineLevel="1" x14ac:dyDescent="0.2">
      <c r="A40" s="26" t="s">
        <v>482</v>
      </c>
      <c r="B40" s="42" t="s">
        <v>483</v>
      </c>
      <c r="C40" s="20" t="s">
        <v>484</v>
      </c>
      <c r="D40" s="25">
        <v>50</v>
      </c>
      <c r="E40" s="22"/>
      <c r="F40" s="22"/>
      <c r="G40" s="22"/>
      <c r="H40" s="22"/>
      <c r="I40" s="22"/>
      <c r="J40" s="22"/>
      <c r="K40" s="22"/>
      <c r="L40" s="22"/>
      <c r="M40" s="22"/>
      <c r="N40" s="22"/>
      <c r="O40" s="22"/>
      <c r="P40" s="22"/>
      <c r="Q40" s="22"/>
      <c r="R40" s="31" t="str">
        <f>_xll.BLUEMATRIX2("/servlet/excelData",$D40,$B$1,$B40)</f>
        <v>#</v>
      </c>
    </row>
    <row r="41" spans="1:18" ht="12.95" customHeight="1" outlineLevel="1" x14ac:dyDescent="0.2">
      <c r="A41" s="26" t="s">
        <v>485</v>
      </c>
      <c r="B41" s="42" t="s">
        <v>486</v>
      </c>
      <c r="C41" s="20" t="s">
        <v>487</v>
      </c>
      <c r="D41" s="25">
        <v>50</v>
      </c>
      <c r="E41" s="22"/>
      <c r="F41" s="22"/>
      <c r="G41" s="22"/>
      <c r="H41" s="22"/>
      <c r="I41" s="22"/>
      <c r="J41" s="22"/>
      <c r="K41" s="22"/>
      <c r="L41" s="22"/>
      <c r="M41" s="22"/>
      <c r="N41" s="22"/>
      <c r="O41" s="22"/>
      <c r="P41" s="22"/>
      <c r="Q41" s="22"/>
      <c r="R41" s="31" t="str">
        <f>_xll.BLUEMATRIX2("/servlet/excelData",$D41,$B$1,$B41)</f>
        <v>#</v>
      </c>
    </row>
    <row r="42" spans="1:18" ht="12.95" customHeight="1" outlineLevel="1" x14ac:dyDescent="0.2">
      <c r="A42" s="26" t="s">
        <v>488</v>
      </c>
      <c r="B42" s="42" t="s">
        <v>489</v>
      </c>
      <c r="C42" s="20" t="s">
        <v>490</v>
      </c>
      <c r="D42" s="30"/>
      <c r="E42" s="22"/>
      <c r="F42" s="22"/>
      <c r="G42" s="22"/>
      <c r="H42" s="22"/>
      <c r="I42" s="22"/>
      <c r="J42" s="22"/>
      <c r="K42" s="22"/>
      <c r="L42" s="22"/>
      <c r="M42" s="22"/>
      <c r="N42" s="22"/>
      <c r="O42" s="22"/>
      <c r="P42" s="22"/>
      <c r="Q42" s="22"/>
      <c r="R42" s="31" t="str">
        <f>_xll.BLUEMATRIX2("/servlet/excelData",$D42,$B$1,$B42)</f>
        <v>#</v>
      </c>
    </row>
    <row r="43" spans="1:18" ht="12.95" customHeight="1" outlineLevel="1" x14ac:dyDescent="0.2">
      <c r="A43" s="26" t="s">
        <v>491</v>
      </c>
      <c r="B43" s="42" t="s">
        <v>492</v>
      </c>
      <c r="C43" s="20" t="s">
        <v>493</v>
      </c>
      <c r="D43" s="30"/>
      <c r="E43" s="22"/>
      <c r="F43" s="22"/>
      <c r="G43" s="22"/>
      <c r="H43" s="22"/>
      <c r="I43" s="22"/>
      <c r="J43" s="22"/>
      <c r="K43" s="22"/>
      <c r="L43" s="22"/>
      <c r="M43" s="22"/>
      <c r="N43" s="22"/>
      <c r="O43" s="22"/>
      <c r="P43" s="22"/>
      <c r="Q43" s="22"/>
      <c r="R43" s="31" t="str">
        <f>_xll.BLUEMATRIX2("/servlet/excelData",$D43,$B$1,$B43)</f>
        <v>#</v>
      </c>
    </row>
    <row r="44" spans="1:18" ht="12.95" customHeight="1" x14ac:dyDescent="0.2">
      <c r="A44" s="26"/>
      <c r="B44" s="26"/>
      <c r="C44" s="20"/>
      <c r="D44" s="44"/>
      <c r="E44" s="22"/>
      <c r="F44" s="22"/>
      <c r="G44" s="22"/>
      <c r="H44" s="22"/>
      <c r="I44" s="22"/>
      <c r="J44" s="22"/>
      <c r="K44" s="22"/>
      <c r="L44" s="22"/>
      <c r="M44" s="22"/>
      <c r="N44" s="22"/>
      <c r="O44" s="22"/>
      <c r="P44" s="22"/>
      <c r="Q44" s="22"/>
      <c r="R44" s="35"/>
    </row>
    <row r="45" spans="1:18" ht="12.95" customHeight="1" x14ac:dyDescent="0.2">
      <c r="A45" s="26"/>
      <c r="B45" s="26"/>
      <c r="C45" s="36" t="s">
        <v>494</v>
      </c>
      <c r="D45" s="45"/>
      <c r="E45" s="22"/>
      <c r="F45" s="22"/>
      <c r="G45" s="22"/>
      <c r="H45" s="22"/>
      <c r="I45" s="22"/>
      <c r="J45" s="22"/>
      <c r="K45" s="22"/>
      <c r="L45" s="22"/>
      <c r="M45" s="22"/>
      <c r="N45" s="22"/>
      <c r="O45" s="22"/>
      <c r="P45" s="22"/>
      <c r="Q45" s="22"/>
      <c r="R45" s="35"/>
    </row>
    <row r="46" spans="1:18" ht="12.95" customHeight="1" x14ac:dyDescent="0.2">
      <c r="A46" s="26" t="s">
        <v>495</v>
      </c>
      <c r="B46" s="26"/>
      <c r="C46" s="29" t="s">
        <v>496</v>
      </c>
      <c r="D46" s="571" t="s">
        <v>35</v>
      </c>
      <c r="E46" s="22"/>
      <c r="F46" s="22"/>
      <c r="G46" s="22"/>
      <c r="H46" s="22"/>
      <c r="I46" s="22"/>
      <c r="J46" s="22"/>
      <c r="K46" s="22"/>
      <c r="L46" s="22"/>
      <c r="M46" s="22"/>
      <c r="N46" s="22"/>
      <c r="O46" s="22"/>
      <c r="P46" s="22"/>
      <c r="Q46" s="22"/>
      <c r="R46" s="31" t="str">
        <f>_xll.BLUEMATRIX2("/servlet/excelData",$D46,$B$1,$B46)</f>
        <v>#</v>
      </c>
    </row>
    <row r="47" spans="1:18" ht="12.95" customHeight="1" x14ac:dyDescent="0.2">
      <c r="A47" s="26" t="s">
        <v>497</v>
      </c>
      <c r="B47" s="26"/>
      <c r="C47" s="29" t="s">
        <v>498</v>
      </c>
      <c r="D47" s="25" t="s">
        <v>42</v>
      </c>
      <c r="E47" s="22"/>
      <c r="F47" s="22"/>
      <c r="G47" s="22"/>
      <c r="H47" s="22"/>
      <c r="I47" s="22"/>
      <c r="J47" s="22"/>
      <c r="K47" s="22"/>
      <c r="L47" s="22"/>
      <c r="M47" s="22"/>
      <c r="N47" s="22"/>
      <c r="O47" s="22"/>
      <c r="P47" s="22"/>
      <c r="Q47" s="22"/>
      <c r="R47" s="31" t="str">
        <f>_xll.BLUEMATRIX2("/servlet/excelData",$D47,$B$1,$B47)</f>
        <v>#</v>
      </c>
    </row>
    <row r="48" spans="1:18" ht="12.95" customHeight="1" x14ac:dyDescent="0.2">
      <c r="A48" s="26" t="s">
        <v>499</v>
      </c>
      <c r="B48" s="26"/>
      <c r="C48" s="29" t="s">
        <v>500</v>
      </c>
      <c r="D48" s="25" t="s">
        <v>43</v>
      </c>
      <c r="E48" s="22"/>
      <c r="F48" s="22"/>
      <c r="G48" s="22"/>
      <c r="H48" s="22"/>
      <c r="I48" s="22"/>
      <c r="J48" s="22"/>
      <c r="K48" s="22"/>
      <c r="L48" s="22"/>
      <c r="M48" s="22"/>
      <c r="N48" s="22"/>
      <c r="O48" s="22"/>
      <c r="P48" s="22"/>
      <c r="Q48" s="22"/>
      <c r="R48" s="31" t="str">
        <f>_xll.BLUEMATRIX2("/servlet/excelData",$D48,$B$1,$B48)</f>
        <v>#</v>
      </c>
    </row>
    <row r="49" spans="1:18" ht="12.95" customHeight="1" outlineLevel="1" x14ac:dyDescent="0.2">
      <c r="A49" s="26" t="s">
        <v>501</v>
      </c>
      <c r="B49" s="26"/>
      <c r="C49" s="29" t="s">
        <v>502</v>
      </c>
      <c r="D49" s="25"/>
      <c r="E49" s="22"/>
      <c r="F49" s="22"/>
      <c r="G49" s="22"/>
      <c r="H49" s="22"/>
      <c r="I49" s="22"/>
      <c r="J49" s="22"/>
      <c r="K49" s="22"/>
      <c r="L49" s="22"/>
      <c r="M49" s="22"/>
      <c r="N49" s="22"/>
      <c r="O49" s="22"/>
      <c r="P49" s="22"/>
      <c r="Q49" s="22"/>
      <c r="R49" s="35"/>
    </row>
    <row r="50" spans="1:18" ht="12.95" customHeight="1" outlineLevel="1" x14ac:dyDescent="0.2">
      <c r="A50" s="26" t="s">
        <v>503</v>
      </c>
      <c r="B50" s="26"/>
      <c r="C50" s="29" t="s">
        <v>504</v>
      </c>
      <c r="D50" s="25"/>
      <c r="E50" s="22"/>
      <c r="F50" s="22"/>
      <c r="G50" s="22"/>
      <c r="H50" s="22"/>
      <c r="I50" s="22"/>
      <c r="J50" s="22"/>
      <c r="K50" s="22"/>
      <c r="L50" s="22"/>
      <c r="M50" s="22"/>
      <c r="N50" s="22"/>
      <c r="O50" s="22"/>
      <c r="P50" s="22"/>
      <c r="Q50" s="22"/>
      <c r="R50" s="35"/>
    </row>
    <row r="51" spans="1:18" ht="12.95" customHeight="1" outlineLevel="1" x14ac:dyDescent="0.2">
      <c r="A51" s="26" t="s">
        <v>505</v>
      </c>
      <c r="B51" s="26"/>
      <c r="C51" s="29" t="s">
        <v>506</v>
      </c>
      <c r="D51" s="25"/>
      <c r="E51" s="22"/>
      <c r="F51" s="22"/>
      <c r="G51" s="22"/>
      <c r="H51" s="22"/>
      <c r="I51" s="22"/>
      <c r="J51" s="22"/>
      <c r="K51" s="22"/>
      <c r="L51" s="22"/>
      <c r="M51" s="22"/>
      <c r="N51" s="22"/>
      <c r="O51" s="22"/>
      <c r="P51" s="22"/>
      <c r="Q51" s="22"/>
      <c r="R51" s="35"/>
    </row>
    <row r="52" spans="1:18" ht="12.95" customHeight="1" outlineLevel="1" x14ac:dyDescent="0.2">
      <c r="A52" s="26" t="s">
        <v>507</v>
      </c>
      <c r="B52" s="26"/>
      <c r="C52" s="29" t="s">
        <v>508</v>
      </c>
      <c r="D52" s="25"/>
      <c r="E52" s="22"/>
      <c r="F52" s="22"/>
      <c r="G52" s="22"/>
      <c r="H52" s="22"/>
      <c r="I52" s="22"/>
      <c r="J52" s="22"/>
      <c r="K52" s="22"/>
      <c r="L52" s="22"/>
      <c r="M52" s="22"/>
      <c r="N52" s="22"/>
      <c r="O52" s="22"/>
      <c r="P52" s="22"/>
      <c r="Q52" s="22"/>
      <c r="R52" s="35"/>
    </row>
    <row r="53" spans="1:18" ht="12.95" customHeight="1" outlineLevel="1" x14ac:dyDescent="0.2">
      <c r="A53" s="26" t="s">
        <v>509</v>
      </c>
      <c r="B53" s="26"/>
      <c r="C53" s="29" t="s">
        <v>510</v>
      </c>
      <c r="D53" s="25"/>
      <c r="E53" s="22"/>
      <c r="F53" s="22"/>
      <c r="G53" s="22"/>
      <c r="H53" s="22"/>
      <c r="I53" s="22"/>
      <c r="J53" s="22"/>
      <c r="K53" s="22"/>
      <c r="L53" s="22"/>
      <c r="M53" s="22"/>
      <c r="N53" s="22"/>
      <c r="O53" s="22"/>
      <c r="P53" s="22"/>
      <c r="Q53" s="22"/>
      <c r="R53" s="35"/>
    </row>
    <row r="54" spans="1:18" ht="12.95" customHeight="1" outlineLevel="1" x14ac:dyDescent="0.2">
      <c r="A54" s="26" t="s">
        <v>511</v>
      </c>
      <c r="B54" s="26"/>
      <c r="C54" s="29" t="s">
        <v>512</v>
      </c>
      <c r="D54" s="25"/>
      <c r="E54" s="22"/>
      <c r="F54" s="22"/>
      <c r="G54" s="22"/>
      <c r="H54" s="22"/>
      <c r="I54" s="22"/>
      <c r="J54" s="22"/>
      <c r="K54" s="22"/>
      <c r="L54" s="22"/>
      <c r="M54" s="22"/>
      <c r="N54" s="22"/>
      <c r="O54" s="22"/>
      <c r="P54" s="22"/>
      <c r="Q54" s="22"/>
      <c r="R54" s="35"/>
    </row>
    <row r="55" spans="1:18" ht="12.95" customHeight="1" outlineLevel="1" x14ac:dyDescent="0.2">
      <c r="A55" s="26" t="s">
        <v>513</v>
      </c>
      <c r="B55" s="26"/>
      <c r="C55" s="29" t="s">
        <v>514</v>
      </c>
      <c r="D55" s="25"/>
      <c r="E55" s="22"/>
      <c r="F55" s="22"/>
      <c r="G55" s="22"/>
      <c r="H55" s="22"/>
      <c r="I55" s="22"/>
      <c r="J55" s="22"/>
      <c r="K55" s="22"/>
      <c r="L55" s="22"/>
      <c r="M55" s="22"/>
      <c r="N55" s="22"/>
      <c r="O55" s="22"/>
      <c r="P55" s="22"/>
      <c r="Q55" s="22"/>
      <c r="R55" s="35"/>
    </row>
    <row r="56" spans="1:18" ht="12.95" customHeight="1" x14ac:dyDescent="0.2">
      <c r="A56" s="26"/>
      <c r="B56" s="26"/>
      <c r="C56" s="29"/>
      <c r="D56" s="46"/>
      <c r="E56" s="22"/>
      <c r="F56" s="22"/>
      <c r="G56" s="22"/>
      <c r="H56" s="22"/>
      <c r="I56" s="22"/>
      <c r="J56" s="22"/>
      <c r="K56" s="22"/>
      <c r="L56" s="22"/>
      <c r="M56" s="22"/>
      <c r="N56" s="22"/>
      <c r="O56" s="22"/>
      <c r="P56" s="22"/>
      <c r="Q56" s="22"/>
      <c r="R56" s="35"/>
    </row>
    <row r="57" spans="1:18" ht="12.95" customHeight="1" x14ac:dyDescent="0.2">
      <c r="A57" s="26" t="s">
        <v>515</v>
      </c>
      <c r="B57" s="26"/>
      <c r="C57" s="20" t="s">
        <v>516</v>
      </c>
      <c r="D57" s="47"/>
      <c r="E57" s="22"/>
      <c r="F57" s="22"/>
      <c r="G57" s="22"/>
      <c r="H57" s="22"/>
      <c r="I57" s="22"/>
      <c r="J57" s="22"/>
      <c r="K57" s="22"/>
      <c r="L57" s="22"/>
      <c r="M57" s="22"/>
      <c r="N57" s="22"/>
      <c r="O57" s="22"/>
      <c r="P57" s="22"/>
      <c r="Q57" s="22"/>
      <c r="R57" s="31"/>
    </row>
    <row r="58" spans="1:18" ht="12.95" customHeight="1" x14ac:dyDescent="0.2">
      <c r="A58" s="26"/>
      <c r="B58" s="26"/>
      <c r="C58" s="20"/>
      <c r="D58" s="42"/>
      <c r="E58" s="22"/>
      <c r="F58" s="22"/>
      <c r="G58" s="22"/>
      <c r="H58" s="22"/>
      <c r="I58" s="22"/>
      <c r="J58" s="22"/>
      <c r="K58" s="22"/>
      <c r="L58" s="22"/>
      <c r="M58" s="22"/>
      <c r="N58" s="22"/>
      <c r="O58" s="22"/>
      <c r="P58" s="22"/>
      <c r="Q58" s="22"/>
      <c r="R58" s="35"/>
    </row>
    <row r="59" spans="1:18" ht="12.95" customHeight="1" x14ac:dyDescent="0.2">
      <c r="A59" s="26" t="s">
        <v>517</v>
      </c>
      <c r="B59" s="26"/>
      <c r="C59" s="20" t="s">
        <v>516</v>
      </c>
      <c r="D59" s="47"/>
      <c r="E59" s="22"/>
      <c r="F59" s="22"/>
      <c r="G59" s="22"/>
      <c r="H59" s="22"/>
      <c r="I59" s="22"/>
      <c r="J59" s="22"/>
      <c r="K59" s="22"/>
      <c r="L59" s="22"/>
      <c r="M59" s="22"/>
      <c r="N59" s="22"/>
      <c r="O59" s="22"/>
      <c r="P59" s="22"/>
      <c r="Q59" s="22"/>
      <c r="R59" s="31"/>
    </row>
    <row r="60" spans="1:18" ht="12.95" customHeight="1" x14ac:dyDescent="0.2">
      <c r="A60" s="26"/>
      <c r="B60" s="26"/>
      <c r="C60" s="20"/>
      <c r="D60" s="46"/>
      <c r="E60" s="22"/>
      <c r="F60" s="22"/>
      <c r="G60" s="22"/>
      <c r="H60" s="22"/>
      <c r="I60" s="22"/>
      <c r="J60" s="22"/>
      <c r="K60" s="22"/>
      <c r="L60" s="22"/>
      <c r="M60" s="22"/>
      <c r="N60" s="22"/>
      <c r="O60" s="22"/>
      <c r="P60" s="22"/>
      <c r="Q60" s="22"/>
      <c r="R60" s="35"/>
    </row>
    <row r="61" spans="1:18" ht="12.95" customHeight="1" x14ac:dyDescent="0.2">
      <c r="A61" s="26"/>
      <c r="B61" s="26"/>
      <c r="C61" s="36" t="s">
        <v>518</v>
      </c>
      <c r="D61" s="46"/>
      <c r="E61" s="22"/>
      <c r="F61" s="22"/>
      <c r="G61" s="22"/>
      <c r="H61" s="22"/>
      <c r="I61" s="22"/>
      <c r="J61" s="22"/>
      <c r="K61" s="22"/>
      <c r="L61" s="22"/>
      <c r="M61" s="22"/>
      <c r="N61" s="22"/>
      <c r="O61" s="22"/>
      <c r="P61" s="22"/>
      <c r="Q61" s="22"/>
      <c r="R61" s="35"/>
    </row>
    <row r="62" spans="1:18" x14ac:dyDescent="0.2">
      <c r="A62" s="48" t="s">
        <v>519</v>
      </c>
      <c r="B62" s="48"/>
      <c r="C62" s="49" t="s">
        <v>520</v>
      </c>
      <c r="D62" s="568"/>
      <c r="E62" s="50"/>
      <c r="F62" s="50"/>
      <c r="G62" s="50"/>
      <c r="H62" s="50"/>
      <c r="I62" s="50"/>
      <c r="J62" s="50"/>
      <c r="K62" s="50"/>
      <c r="L62" s="50"/>
      <c r="M62" s="50"/>
      <c r="N62" s="50"/>
      <c r="O62" s="50"/>
      <c r="P62" s="50"/>
      <c r="Q62" s="50"/>
      <c r="R62" s="51" t="str">
        <f>_xll.BLUEMATRIX2("/servlet/excelData",D62,$B$1,"BOILER_PLATE[[eap_core_drivers]]")</f>
        <v>#</v>
      </c>
    </row>
    <row r="63" spans="1:18" x14ac:dyDescent="0.2">
      <c r="A63" s="48" t="s">
        <v>519</v>
      </c>
      <c r="B63" s="48"/>
      <c r="C63" s="49" t="s">
        <v>521</v>
      </c>
      <c r="D63" s="568"/>
      <c r="E63" s="50"/>
      <c r="F63" s="50"/>
      <c r="G63" s="50"/>
      <c r="H63" s="50"/>
      <c r="I63" s="50"/>
      <c r="J63" s="50"/>
      <c r="K63" s="50"/>
      <c r="L63" s="50"/>
      <c r="M63" s="50"/>
      <c r="N63" s="50"/>
      <c r="O63" s="50"/>
      <c r="P63" s="50"/>
      <c r="Q63" s="50"/>
      <c r="R63" s="51" t="str">
        <f>_xll.BLUEMATRIX2("/servlet/excelData",D63,$B$1,"BOILER_PLATE[[eap_core_drivers]]")</f>
        <v>#</v>
      </c>
    </row>
    <row r="64" spans="1:18" x14ac:dyDescent="0.2">
      <c r="A64" s="48" t="s">
        <v>519</v>
      </c>
      <c r="B64" s="48"/>
      <c r="C64" s="49" t="s">
        <v>522</v>
      </c>
      <c r="D64" s="568"/>
      <c r="E64" s="50"/>
      <c r="F64" s="50"/>
      <c r="G64" s="50"/>
      <c r="H64" s="50"/>
      <c r="I64" s="50"/>
      <c r="J64" s="50"/>
      <c r="K64" s="50"/>
      <c r="L64" s="50"/>
      <c r="M64" s="50"/>
      <c r="N64" s="50"/>
      <c r="O64" s="50"/>
      <c r="P64" s="50"/>
      <c r="Q64" s="50"/>
      <c r="R64" s="51" t="str">
        <f>_xll.BLUEMATRIX2("/servlet/excelData",D64,$B$1,"BOILER_PLATE[[eap_core_drivers]]")</f>
        <v>#</v>
      </c>
    </row>
    <row r="65" spans="1:18" x14ac:dyDescent="0.2">
      <c r="A65" s="48" t="s">
        <v>519</v>
      </c>
      <c r="B65" s="48"/>
      <c r="C65" s="49" t="s">
        <v>523</v>
      </c>
      <c r="D65" s="481"/>
      <c r="E65" s="50"/>
      <c r="F65" s="50"/>
      <c r="G65" s="50"/>
      <c r="H65" s="50"/>
      <c r="I65" s="50"/>
      <c r="J65" s="50"/>
      <c r="K65" s="50"/>
      <c r="L65" s="50"/>
      <c r="M65" s="50"/>
      <c r="N65" s="50"/>
      <c r="O65" s="50"/>
      <c r="P65" s="50"/>
      <c r="Q65" s="50"/>
      <c r="R65" s="51" t="str">
        <f>_xll.BLUEMATRIX2("/servlet/excelData",D65,$B$1,"BOILER_PLATE[[eap_core_drivers]]")</f>
        <v>#</v>
      </c>
    </row>
    <row r="66" spans="1:18" ht="12.75" customHeight="1" x14ac:dyDescent="0.2">
      <c r="A66" s="48" t="s">
        <v>519</v>
      </c>
      <c r="B66" s="48"/>
      <c r="C66" s="49" t="s">
        <v>524</v>
      </c>
      <c r="D66" s="481"/>
      <c r="E66" s="50"/>
      <c r="F66" s="50"/>
      <c r="G66" s="50"/>
      <c r="H66" s="50"/>
      <c r="I66" s="50"/>
      <c r="J66" s="50"/>
      <c r="K66" s="50"/>
      <c r="L66" s="50"/>
      <c r="M66" s="50"/>
      <c r="N66" s="50"/>
      <c r="O66" s="50"/>
      <c r="P66" s="50"/>
      <c r="Q66" s="50"/>
      <c r="R66" s="52"/>
    </row>
    <row r="67" spans="1:18" ht="12.75" customHeight="1" x14ac:dyDescent="0.2">
      <c r="A67" s="48"/>
      <c r="B67" s="48"/>
      <c r="C67" s="22"/>
      <c r="D67" s="46"/>
      <c r="E67" s="22"/>
      <c r="F67" s="22"/>
      <c r="G67" s="22"/>
      <c r="H67" s="22"/>
      <c r="I67" s="22"/>
      <c r="J67" s="22"/>
      <c r="K67" s="22"/>
      <c r="L67" s="22"/>
      <c r="M67" s="22"/>
      <c r="N67" s="22"/>
      <c r="O67" s="22"/>
      <c r="P67" s="22"/>
      <c r="Q67" s="22"/>
      <c r="R67" s="35"/>
    </row>
    <row r="68" spans="1:18" ht="12.75" customHeight="1" x14ac:dyDescent="0.2">
      <c r="A68" s="48" t="s">
        <v>525</v>
      </c>
      <c r="B68" s="48"/>
      <c r="C68" s="49" t="s">
        <v>526</v>
      </c>
      <c r="D68" s="568"/>
      <c r="E68" s="50"/>
      <c r="F68" s="50"/>
      <c r="G68" s="50"/>
      <c r="H68" s="50"/>
      <c r="I68" s="50"/>
      <c r="J68" s="50"/>
      <c r="K68" s="50"/>
      <c r="L68" s="50"/>
      <c r="M68" s="50"/>
      <c r="N68" s="50"/>
      <c r="O68" s="50"/>
      <c r="P68" s="50"/>
      <c r="Q68" s="50"/>
      <c r="R68" s="51" t="str">
        <f>_xll.BLUEMATRIX2("/servlet/excelData",D68,$B$1,"BOILER_PLATE[[Investment_thesis]]")</f>
        <v>#</v>
      </c>
    </row>
    <row r="69" spans="1:18" ht="12.75" customHeight="1" x14ac:dyDescent="0.2">
      <c r="A69" s="48" t="s">
        <v>525</v>
      </c>
      <c r="B69" s="48"/>
      <c r="C69" s="49" t="s">
        <v>527</v>
      </c>
      <c r="D69" s="568"/>
      <c r="E69" s="50"/>
      <c r="F69" s="50"/>
      <c r="G69" s="50"/>
      <c r="H69" s="50"/>
      <c r="I69" s="50"/>
      <c r="J69" s="50"/>
      <c r="K69" s="50"/>
      <c r="L69" s="50"/>
      <c r="M69" s="50"/>
      <c r="N69" s="50"/>
      <c r="O69" s="50"/>
      <c r="P69" s="50"/>
      <c r="Q69" s="50"/>
      <c r="R69" s="51" t="str">
        <f>_xll.BLUEMATRIX2("/servlet/excelData",D69,$B$1,"BOILER_PLATE[[Investment_thesis]]")</f>
        <v>#</v>
      </c>
    </row>
    <row r="70" spans="1:18" ht="12.75" customHeight="1" x14ac:dyDescent="0.2">
      <c r="A70" s="48" t="s">
        <v>525</v>
      </c>
      <c r="B70" s="48"/>
      <c r="C70" s="49" t="s">
        <v>528</v>
      </c>
      <c r="D70" s="568"/>
      <c r="E70" s="50"/>
      <c r="F70" s="50"/>
      <c r="G70" s="50"/>
      <c r="H70" s="50"/>
      <c r="I70" s="50"/>
      <c r="J70" s="50"/>
      <c r="K70" s="50"/>
      <c r="L70" s="50"/>
      <c r="M70" s="50"/>
      <c r="N70" s="50"/>
      <c r="O70" s="50"/>
      <c r="P70" s="50"/>
      <c r="Q70" s="50"/>
      <c r="R70" s="51" t="str">
        <f>_xll.BLUEMATRIX2("/servlet/excelData",D70,$B$1,"BOILER_PLATE[[Investment_thesis]]")</f>
        <v>#</v>
      </c>
    </row>
    <row r="71" spans="1:18" ht="12.75" customHeight="1" x14ac:dyDescent="0.2">
      <c r="A71" s="48" t="s">
        <v>525</v>
      </c>
      <c r="B71" s="48"/>
      <c r="C71" s="49" t="s">
        <v>529</v>
      </c>
      <c r="D71" s="481"/>
      <c r="E71" s="50"/>
      <c r="F71" s="50"/>
      <c r="G71" s="50"/>
      <c r="H71" s="50"/>
      <c r="I71" s="50"/>
      <c r="J71" s="50"/>
      <c r="K71" s="50"/>
      <c r="L71" s="50"/>
      <c r="M71" s="50"/>
      <c r="N71" s="50"/>
      <c r="O71" s="50"/>
      <c r="P71" s="50"/>
      <c r="Q71" s="50"/>
      <c r="R71" s="51"/>
    </row>
    <row r="72" spans="1:18" x14ac:dyDescent="0.2">
      <c r="A72" s="48" t="s">
        <v>525</v>
      </c>
      <c r="B72" s="48"/>
      <c r="C72" s="49" t="s">
        <v>530</v>
      </c>
      <c r="D72" s="482"/>
      <c r="E72" s="50"/>
      <c r="F72" s="50"/>
      <c r="G72" s="50"/>
      <c r="H72" s="50"/>
      <c r="I72" s="50"/>
      <c r="J72" s="50"/>
      <c r="K72" s="50"/>
      <c r="L72" s="50"/>
      <c r="M72" s="50"/>
      <c r="N72" s="50"/>
      <c r="O72" s="50"/>
      <c r="P72" s="50"/>
      <c r="Q72" s="50"/>
      <c r="R72" s="53"/>
    </row>
    <row r="73" spans="1:18" ht="12.95" hidden="1" customHeight="1" outlineLevel="1" x14ac:dyDescent="0.2">
      <c r="A73" s="48"/>
      <c r="B73" s="48"/>
      <c r="C73" s="20"/>
      <c r="D73" s="46"/>
      <c r="E73" s="22"/>
      <c r="F73" s="22"/>
      <c r="G73" s="22"/>
      <c r="H73" s="22"/>
      <c r="I73" s="22"/>
      <c r="J73" s="22"/>
      <c r="K73" s="22"/>
      <c r="L73" s="22"/>
      <c r="M73" s="22"/>
      <c r="N73" s="22"/>
      <c r="O73" s="22"/>
      <c r="P73" s="22"/>
      <c r="Q73" s="22"/>
      <c r="R73" s="35"/>
    </row>
    <row r="74" spans="1:18" ht="12.95" hidden="1" customHeight="1" outlineLevel="1" x14ac:dyDescent="0.2">
      <c r="A74" s="48" t="s">
        <v>531</v>
      </c>
      <c r="B74" s="48"/>
      <c r="C74" s="29" t="s">
        <v>532</v>
      </c>
      <c r="D74" s="54"/>
      <c r="E74" s="50"/>
      <c r="F74" s="50"/>
      <c r="G74" s="50"/>
      <c r="H74" s="50"/>
      <c r="I74" s="50"/>
      <c r="J74" s="50"/>
      <c r="K74" s="50"/>
      <c r="L74" s="50"/>
      <c r="M74" s="50"/>
      <c r="N74" s="50"/>
      <c r="O74" s="50"/>
      <c r="P74" s="50"/>
      <c r="Q74" s="50"/>
      <c r="R74" s="53"/>
    </row>
    <row r="75" spans="1:18" ht="12.95" hidden="1" customHeight="1" outlineLevel="1" x14ac:dyDescent="0.2">
      <c r="A75" s="26"/>
      <c r="B75" s="26"/>
      <c r="C75" s="20"/>
      <c r="D75" s="46"/>
      <c r="E75" s="22"/>
      <c r="F75" s="22"/>
      <c r="G75" s="22"/>
      <c r="H75" s="22"/>
      <c r="I75" s="22"/>
      <c r="J75" s="22"/>
      <c r="K75" s="22"/>
      <c r="L75" s="22"/>
      <c r="M75" s="22"/>
      <c r="N75" s="22"/>
      <c r="O75" s="22"/>
      <c r="P75" s="22"/>
      <c r="Q75" s="22"/>
      <c r="R75" s="27"/>
    </row>
    <row r="76" spans="1:18" ht="12.95" hidden="1" customHeight="1" outlineLevel="1" x14ac:dyDescent="0.2">
      <c r="A76" s="48" t="s">
        <v>533</v>
      </c>
      <c r="B76" s="48"/>
      <c r="C76" s="20" t="s">
        <v>534</v>
      </c>
      <c r="D76" s="55"/>
      <c r="E76" s="50"/>
      <c r="F76" s="50"/>
      <c r="G76" s="50"/>
      <c r="H76" s="50"/>
      <c r="I76" s="50"/>
      <c r="J76" s="50"/>
      <c r="K76" s="50"/>
      <c r="L76" s="50"/>
      <c r="M76" s="50"/>
      <c r="N76" s="50"/>
      <c r="O76" s="50"/>
      <c r="P76" s="50"/>
      <c r="Q76" s="50"/>
      <c r="R76" s="27"/>
    </row>
    <row r="77" spans="1:18" ht="12.95" customHeight="1" collapsed="1" x14ac:dyDescent="0.2">
      <c r="A77" s="26"/>
      <c r="B77" s="26"/>
      <c r="C77" s="20"/>
      <c r="D77" s="46"/>
      <c r="E77" s="50"/>
      <c r="F77" s="50"/>
      <c r="G77" s="50"/>
      <c r="H77" s="50"/>
      <c r="I77" s="50"/>
      <c r="J77" s="50"/>
      <c r="K77" s="50"/>
      <c r="L77" s="50"/>
      <c r="M77" s="50"/>
      <c r="N77" s="50"/>
      <c r="O77" s="50"/>
      <c r="P77" s="50"/>
      <c r="Q77" s="50"/>
      <c r="R77" s="27"/>
    </row>
    <row r="78" spans="1:18" ht="12.95" customHeight="1" x14ac:dyDescent="0.2">
      <c r="A78" s="26"/>
      <c r="B78" s="26"/>
      <c r="C78" s="36" t="s">
        <v>535</v>
      </c>
      <c r="D78" s="46"/>
      <c r="E78" s="50"/>
      <c r="F78" s="50"/>
      <c r="G78" s="50"/>
      <c r="H78" s="50"/>
      <c r="I78" s="50"/>
      <c r="J78" s="50"/>
      <c r="K78" s="50"/>
      <c r="L78" s="50"/>
      <c r="M78" s="50"/>
      <c r="N78" s="50"/>
      <c r="O78" s="50"/>
      <c r="P78" s="50"/>
      <c r="Q78" s="50"/>
      <c r="R78" s="27"/>
    </row>
    <row r="79" spans="1:18" ht="12.95" hidden="1" customHeight="1" outlineLevel="1" x14ac:dyDescent="0.2">
      <c r="A79" s="48" t="s">
        <v>536</v>
      </c>
      <c r="B79" s="48"/>
      <c r="C79" s="29" t="s">
        <v>537</v>
      </c>
      <c r="D79" s="55"/>
      <c r="E79" s="50"/>
      <c r="F79" s="50"/>
      <c r="G79" s="50"/>
      <c r="H79" s="50"/>
      <c r="I79" s="50"/>
      <c r="J79" s="50"/>
      <c r="K79" s="50"/>
      <c r="L79" s="50"/>
      <c r="M79" s="50"/>
      <c r="N79" s="50"/>
      <c r="O79" s="50"/>
      <c r="P79" s="50"/>
      <c r="Q79" s="50"/>
      <c r="R79" s="27"/>
    </row>
    <row r="80" spans="1:18" ht="12.95" hidden="1" customHeight="1" outlineLevel="1" x14ac:dyDescent="0.2">
      <c r="A80" s="48" t="s">
        <v>538</v>
      </c>
      <c r="B80" s="48"/>
      <c r="C80" s="29" t="s">
        <v>539</v>
      </c>
      <c r="D80" s="55"/>
      <c r="E80" s="50"/>
      <c r="F80" s="50"/>
      <c r="G80" s="50"/>
      <c r="H80" s="50"/>
      <c r="I80" s="50"/>
      <c r="J80" s="50"/>
      <c r="K80" s="50"/>
      <c r="L80" s="50"/>
      <c r="M80" s="50"/>
      <c r="N80" s="50"/>
      <c r="O80" s="50"/>
      <c r="P80" s="50"/>
      <c r="Q80" s="50"/>
      <c r="R80" s="27"/>
    </row>
    <row r="81" spans="1:18" ht="12.95" hidden="1" customHeight="1" outlineLevel="1" x14ac:dyDescent="0.2">
      <c r="A81" s="48" t="s">
        <v>540</v>
      </c>
      <c r="B81" s="48"/>
      <c r="C81" s="29" t="s">
        <v>541</v>
      </c>
      <c r="D81" s="55"/>
      <c r="E81" s="50"/>
      <c r="F81" s="50"/>
      <c r="G81" s="50"/>
      <c r="H81" s="50"/>
      <c r="I81" s="50"/>
      <c r="J81" s="50"/>
      <c r="K81" s="50"/>
      <c r="L81" s="50"/>
      <c r="M81" s="50"/>
      <c r="N81" s="50"/>
      <c r="O81" s="50"/>
      <c r="P81" s="50"/>
      <c r="Q81" s="50"/>
      <c r="R81" s="27"/>
    </row>
    <row r="82" spans="1:18" ht="12.95" hidden="1" customHeight="1" outlineLevel="1" x14ac:dyDescent="0.2">
      <c r="A82" s="48" t="s">
        <v>542</v>
      </c>
      <c r="B82" s="48"/>
      <c r="C82" s="29" t="s">
        <v>543</v>
      </c>
      <c r="D82" s="55"/>
      <c r="E82" s="22"/>
      <c r="F82" s="22"/>
      <c r="G82" s="22"/>
      <c r="H82" s="22"/>
      <c r="I82" s="22"/>
      <c r="J82" s="22"/>
      <c r="K82" s="22"/>
      <c r="L82" s="22"/>
      <c r="M82" s="22"/>
      <c r="N82" s="22"/>
      <c r="O82" s="22"/>
      <c r="P82" s="22"/>
      <c r="Q82" s="22"/>
      <c r="R82" s="27"/>
    </row>
    <row r="83" spans="1:18" ht="12.95" hidden="1" customHeight="1" outlineLevel="1" x14ac:dyDescent="0.2">
      <c r="A83" s="48" t="s">
        <v>544</v>
      </c>
      <c r="B83" s="48"/>
      <c r="C83" s="29" t="s">
        <v>545</v>
      </c>
      <c r="D83" s="55"/>
      <c r="E83" s="22"/>
      <c r="F83" s="22"/>
      <c r="G83" s="22"/>
      <c r="H83" s="22"/>
      <c r="I83" s="22"/>
      <c r="J83" s="22"/>
      <c r="K83" s="22"/>
      <c r="L83" s="22"/>
      <c r="M83" s="22"/>
      <c r="N83" s="22"/>
      <c r="O83" s="22"/>
      <c r="P83" s="22"/>
      <c r="Q83" s="22"/>
      <c r="R83" s="27"/>
    </row>
    <row r="84" spans="1:18" ht="12.95" hidden="1" customHeight="1" outlineLevel="1" x14ac:dyDescent="0.2">
      <c r="A84" s="48" t="s">
        <v>546</v>
      </c>
      <c r="B84" s="48"/>
      <c r="C84" s="29" t="s">
        <v>547</v>
      </c>
      <c r="D84" s="55"/>
      <c r="E84" s="22"/>
      <c r="F84" s="22"/>
      <c r="G84" s="22"/>
      <c r="H84" s="22"/>
      <c r="I84" s="22"/>
      <c r="J84" s="22"/>
      <c r="K84" s="22"/>
      <c r="L84" s="22"/>
      <c r="M84" s="22"/>
      <c r="N84" s="22"/>
      <c r="O84" s="22"/>
      <c r="P84" s="22"/>
      <c r="Q84" s="22"/>
      <c r="R84" s="27"/>
    </row>
    <row r="85" spans="1:18" ht="12.95" hidden="1" customHeight="1" outlineLevel="1" x14ac:dyDescent="0.2">
      <c r="A85" s="48" t="s">
        <v>548</v>
      </c>
      <c r="B85" s="48"/>
      <c r="C85" s="29" t="s">
        <v>549</v>
      </c>
      <c r="D85" s="55"/>
      <c r="E85" s="22"/>
      <c r="F85" s="22"/>
      <c r="G85" s="22"/>
      <c r="H85" s="22"/>
      <c r="I85" s="22"/>
      <c r="J85" s="22"/>
      <c r="K85" s="22"/>
      <c r="L85" s="22"/>
      <c r="M85" s="22"/>
      <c r="N85" s="22"/>
      <c r="O85" s="22"/>
      <c r="P85" s="22"/>
      <c r="Q85" s="22"/>
      <c r="R85" s="27"/>
    </row>
    <row r="86" spans="1:18" ht="12.95" hidden="1" customHeight="1" outlineLevel="1" x14ac:dyDescent="0.2">
      <c r="A86" s="48" t="s">
        <v>550</v>
      </c>
      <c r="B86" s="48"/>
      <c r="C86" s="29" t="s">
        <v>551</v>
      </c>
      <c r="D86" s="55"/>
      <c r="E86" s="22"/>
      <c r="F86" s="22"/>
      <c r="G86" s="22"/>
      <c r="H86" s="22"/>
      <c r="I86" s="22"/>
      <c r="J86" s="22"/>
      <c r="K86" s="22"/>
      <c r="L86" s="22"/>
      <c r="M86" s="22"/>
      <c r="N86" s="22"/>
      <c r="O86" s="22"/>
      <c r="P86" s="22"/>
      <c r="Q86" s="22"/>
      <c r="R86" s="27"/>
    </row>
    <row r="87" spans="1:18" ht="12.95" hidden="1" customHeight="1" outlineLevel="1" x14ac:dyDescent="0.2">
      <c r="A87" s="48" t="s">
        <v>552</v>
      </c>
      <c r="B87" s="48"/>
      <c r="C87" s="29" t="s">
        <v>553</v>
      </c>
      <c r="D87" s="55"/>
      <c r="E87" s="22"/>
      <c r="F87" s="22"/>
      <c r="G87" s="22"/>
      <c r="H87" s="22"/>
      <c r="I87" s="22"/>
      <c r="J87" s="22"/>
      <c r="K87" s="22"/>
      <c r="L87" s="22"/>
      <c r="M87" s="22"/>
      <c r="N87" s="22"/>
      <c r="O87" s="22"/>
      <c r="P87" s="22"/>
      <c r="Q87" s="22"/>
      <c r="R87" s="27"/>
    </row>
    <row r="88" spans="1:18" ht="12.95" hidden="1" customHeight="1" outlineLevel="1" x14ac:dyDescent="0.2">
      <c r="A88" s="48" t="s">
        <v>554</v>
      </c>
      <c r="B88" s="48"/>
      <c r="C88" s="29" t="s">
        <v>555</v>
      </c>
      <c r="D88" s="55"/>
      <c r="E88" s="22"/>
      <c r="F88" s="22"/>
      <c r="G88" s="22"/>
      <c r="H88" s="22"/>
      <c r="I88" s="22"/>
      <c r="J88" s="22"/>
      <c r="K88" s="22"/>
      <c r="L88" s="22"/>
      <c r="M88" s="22"/>
      <c r="N88" s="22"/>
      <c r="O88" s="22"/>
      <c r="P88" s="22"/>
      <c r="Q88" s="22"/>
      <c r="R88" s="27"/>
    </row>
    <row r="89" spans="1:18" ht="12.95" hidden="1" customHeight="1" outlineLevel="1" x14ac:dyDescent="0.2">
      <c r="A89" s="26"/>
      <c r="B89" s="26"/>
      <c r="C89" s="29"/>
      <c r="D89" s="46"/>
      <c r="E89" s="22"/>
      <c r="F89" s="22"/>
      <c r="G89" s="22"/>
      <c r="H89" s="22"/>
      <c r="I89" s="22"/>
      <c r="J89" s="22"/>
      <c r="K89" s="22"/>
      <c r="L89" s="22"/>
      <c r="M89" s="22"/>
      <c r="N89" s="22"/>
      <c r="O89" s="22"/>
      <c r="P89" s="22"/>
      <c r="Q89" s="22"/>
      <c r="R89" s="27"/>
    </row>
    <row r="90" spans="1:18" ht="12.95" hidden="1" customHeight="1" outlineLevel="1" x14ac:dyDescent="0.2">
      <c r="A90" s="26"/>
      <c r="B90" s="26"/>
      <c r="C90" s="56" t="s">
        <v>556</v>
      </c>
      <c r="D90" s="46"/>
      <c r="E90" s="22"/>
      <c r="F90" s="22"/>
      <c r="G90" s="22"/>
      <c r="H90" s="22"/>
      <c r="I90" s="22"/>
      <c r="J90" s="22"/>
      <c r="K90" s="22"/>
      <c r="L90" s="22"/>
      <c r="M90" s="22"/>
      <c r="N90" s="22"/>
      <c r="O90" s="22"/>
      <c r="P90" s="22"/>
      <c r="Q90" s="22"/>
      <c r="R90" s="27"/>
    </row>
    <row r="91" spans="1:18" ht="12.95" hidden="1" customHeight="1" outlineLevel="1" x14ac:dyDescent="0.2">
      <c r="A91" s="48" t="s">
        <v>557</v>
      </c>
      <c r="B91" s="48"/>
      <c r="C91" s="29" t="s">
        <v>558</v>
      </c>
      <c r="D91" s="57"/>
      <c r="E91" s="22"/>
      <c r="F91" s="22"/>
      <c r="G91" s="22"/>
      <c r="H91" s="22"/>
      <c r="I91" s="22"/>
      <c r="J91" s="22"/>
      <c r="K91" s="22"/>
      <c r="L91" s="22"/>
      <c r="M91" s="22"/>
      <c r="N91" s="22"/>
      <c r="O91" s="22"/>
      <c r="P91" s="22"/>
      <c r="Q91" s="22"/>
      <c r="R91" s="27"/>
    </row>
    <row r="92" spans="1:18" ht="12.95" hidden="1" customHeight="1" outlineLevel="1" x14ac:dyDescent="0.2">
      <c r="A92" s="48" t="s">
        <v>559</v>
      </c>
      <c r="B92" s="48"/>
      <c r="C92" s="29" t="s">
        <v>560</v>
      </c>
      <c r="D92" s="57"/>
      <c r="E92" s="22"/>
      <c r="F92" s="22"/>
      <c r="G92" s="22"/>
      <c r="H92" s="22"/>
      <c r="I92" s="22"/>
      <c r="J92" s="22"/>
      <c r="K92" s="22"/>
      <c r="L92" s="22"/>
      <c r="M92" s="22"/>
      <c r="N92" s="22"/>
      <c r="O92" s="22"/>
      <c r="P92" s="22"/>
      <c r="Q92" s="22"/>
      <c r="R92" s="27"/>
    </row>
    <row r="93" spans="1:18" ht="12.95" hidden="1" customHeight="1" outlineLevel="1" x14ac:dyDescent="0.2">
      <c r="A93" s="48" t="s">
        <v>561</v>
      </c>
      <c r="B93" s="48"/>
      <c r="C93" s="29" t="s">
        <v>562</v>
      </c>
      <c r="D93" s="57"/>
      <c r="E93" s="22"/>
      <c r="F93" s="22"/>
      <c r="G93" s="22"/>
      <c r="H93" s="22"/>
      <c r="I93" s="22"/>
      <c r="J93" s="22"/>
      <c r="K93" s="22"/>
      <c r="L93" s="22"/>
      <c r="M93" s="22"/>
      <c r="N93" s="22"/>
      <c r="O93" s="22"/>
      <c r="P93" s="22"/>
      <c r="Q93" s="22"/>
      <c r="R93" s="27"/>
    </row>
    <row r="94" spans="1:18" ht="12.95" hidden="1" customHeight="1" outlineLevel="1" x14ac:dyDescent="0.2">
      <c r="A94" s="48" t="s">
        <v>563</v>
      </c>
      <c r="B94" s="48"/>
      <c r="C94" s="29" t="s">
        <v>564</v>
      </c>
      <c r="D94" s="57"/>
      <c r="E94" s="22"/>
      <c r="F94" s="22"/>
      <c r="G94" s="22"/>
      <c r="H94" s="22"/>
      <c r="I94" s="22"/>
      <c r="J94" s="22"/>
      <c r="K94" s="22"/>
      <c r="L94" s="22"/>
      <c r="M94" s="22"/>
      <c r="N94" s="22"/>
      <c r="O94" s="22"/>
      <c r="P94" s="22"/>
      <c r="Q94" s="22"/>
      <c r="R94" s="27"/>
    </row>
    <row r="95" spans="1:18" ht="12.95" hidden="1" customHeight="1" outlineLevel="1" x14ac:dyDescent="0.2">
      <c r="A95" s="48" t="s">
        <v>565</v>
      </c>
      <c r="B95" s="48"/>
      <c r="C95" s="29" t="s">
        <v>566</v>
      </c>
      <c r="D95" s="57"/>
      <c r="E95" s="22"/>
      <c r="F95" s="22"/>
      <c r="G95" s="22"/>
      <c r="H95" s="22"/>
      <c r="I95" s="22"/>
      <c r="J95" s="22"/>
      <c r="K95" s="22"/>
      <c r="L95" s="22"/>
      <c r="M95" s="22"/>
      <c r="N95" s="22"/>
      <c r="O95" s="22"/>
      <c r="P95" s="22"/>
      <c r="Q95" s="22"/>
      <c r="R95" s="27"/>
    </row>
    <row r="96" spans="1:18" ht="12.95" hidden="1" customHeight="1" outlineLevel="1" x14ac:dyDescent="0.2">
      <c r="A96" s="48" t="s">
        <v>567</v>
      </c>
      <c r="B96" s="48"/>
      <c r="C96" s="29" t="s">
        <v>568</v>
      </c>
      <c r="D96" s="57"/>
      <c r="E96" s="22"/>
      <c r="F96" s="22"/>
      <c r="G96" s="22"/>
      <c r="H96" s="22"/>
      <c r="I96" s="22"/>
      <c r="J96" s="22"/>
      <c r="K96" s="22"/>
      <c r="L96" s="22"/>
      <c r="M96" s="22"/>
      <c r="N96" s="22"/>
      <c r="O96" s="22"/>
      <c r="P96" s="22"/>
      <c r="Q96" s="22"/>
      <c r="R96" s="27"/>
    </row>
    <row r="97" spans="1:18" ht="12.95" hidden="1" customHeight="1" outlineLevel="1" x14ac:dyDescent="0.2">
      <c r="A97" s="48" t="s">
        <v>569</v>
      </c>
      <c r="B97" s="48"/>
      <c r="C97" s="29" t="s">
        <v>570</v>
      </c>
      <c r="D97" s="57"/>
      <c r="E97" s="22"/>
      <c r="F97" s="22"/>
      <c r="G97" s="22"/>
      <c r="H97" s="22"/>
      <c r="I97" s="22"/>
      <c r="J97" s="22"/>
      <c r="K97" s="22"/>
      <c r="L97" s="22"/>
      <c r="M97" s="22"/>
      <c r="N97" s="22"/>
      <c r="O97" s="22"/>
      <c r="P97" s="22"/>
      <c r="Q97" s="22"/>
      <c r="R97" s="27"/>
    </row>
    <row r="98" spans="1:18" ht="12.95" hidden="1" customHeight="1" outlineLevel="1" x14ac:dyDescent="0.2">
      <c r="A98" s="48" t="s">
        <v>571</v>
      </c>
      <c r="B98" s="48"/>
      <c r="C98" s="29" t="s">
        <v>572</v>
      </c>
      <c r="D98" s="57"/>
      <c r="E98" s="22"/>
      <c r="F98" s="22"/>
      <c r="G98" s="22"/>
      <c r="H98" s="22"/>
      <c r="I98" s="22"/>
      <c r="J98" s="22"/>
      <c r="K98" s="22"/>
      <c r="L98" s="22"/>
      <c r="M98" s="22"/>
      <c r="N98" s="22"/>
      <c r="O98" s="22"/>
      <c r="P98" s="22"/>
      <c r="Q98" s="22"/>
      <c r="R98" s="27"/>
    </row>
    <row r="99" spans="1:18" ht="12.95" hidden="1" customHeight="1" outlineLevel="1" x14ac:dyDescent="0.2">
      <c r="A99" s="48" t="s">
        <v>573</v>
      </c>
      <c r="B99" s="48"/>
      <c r="C99" s="29" t="s">
        <v>574</v>
      </c>
      <c r="D99" s="57"/>
      <c r="E99" s="22"/>
      <c r="F99" s="22"/>
      <c r="G99" s="22"/>
      <c r="H99" s="22"/>
      <c r="I99" s="22"/>
      <c r="J99" s="22"/>
      <c r="K99" s="22"/>
      <c r="L99" s="22"/>
      <c r="M99" s="22"/>
      <c r="N99" s="22"/>
      <c r="O99" s="22"/>
      <c r="P99" s="22"/>
      <c r="Q99" s="22"/>
      <c r="R99" s="27"/>
    </row>
    <row r="100" spans="1:18" ht="12.95" hidden="1" customHeight="1" outlineLevel="1" x14ac:dyDescent="0.2">
      <c r="A100" s="48" t="s">
        <v>575</v>
      </c>
      <c r="B100" s="48"/>
      <c r="C100" s="29" t="s">
        <v>576</v>
      </c>
      <c r="D100" s="57"/>
      <c r="E100" s="22"/>
      <c r="F100" s="22"/>
      <c r="G100" s="22"/>
      <c r="H100" s="22"/>
      <c r="I100" s="22"/>
      <c r="J100" s="22"/>
      <c r="K100" s="22"/>
      <c r="L100" s="22"/>
      <c r="M100" s="22"/>
      <c r="N100" s="22"/>
      <c r="O100" s="22"/>
      <c r="P100" s="22"/>
      <c r="Q100" s="22"/>
      <c r="R100" s="27"/>
    </row>
    <row r="101" spans="1:18" ht="12.95" customHeight="1" collapsed="1" x14ac:dyDescent="0.2">
      <c r="A101" s="48"/>
      <c r="B101" s="48"/>
      <c r="C101" s="29"/>
      <c r="D101" s="42"/>
      <c r="E101" s="22"/>
      <c r="F101" s="22"/>
      <c r="G101" s="22"/>
      <c r="H101" s="22"/>
      <c r="I101" s="22"/>
      <c r="J101" s="22"/>
      <c r="K101" s="22"/>
      <c r="L101" s="22"/>
      <c r="M101" s="22"/>
      <c r="N101" s="22"/>
      <c r="O101" s="22"/>
      <c r="P101" s="22"/>
      <c r="Q101" s="22"/>
      <c r="R101" s="27"/>
    </row>
    <row r="102" spans="1:18" ht="12.95" customHeight="1" x14ac:dyDescent="0.2">
      <c r="A102" s="48"/>
      <c r="B102" s="48"/>
      <c r="C102" s="58" t="s">
        <v>577</v>
      </c>
      <c r="D102" s="42"/>
      <c r="E102" s="22"/>
      <c r="F102" s="22"/>
      <c r="G102" s="22"/>
      <c r="H102" s="22"/>
      <c r="I102" s="22"/>
      <c r="J102" s="22"/>
      <c r="K102" s="22"/>
      <c r="L102" s="22"/>
      <c r="M102" s="22"/>
      <c r="N102" s="22"/>
      <c r="O102" s="22"/>
      <c r="P102" s="22"/>
      <c r="Q102" s="22"/>
      <c r="R102" s="27"/>
    </row>
    <row r="103" spans="1:18" ht="12.95" hidden="1" customHeight="1" outlineLevel="1" x14ac:dyDescent="0.2">
      <c r="A103" s="48" t="s">
        <v>578</v>
      </c>
      <c r="B103" s="48"/>
      <c r="C103" s="29" t="s">
        <v>579</v>
      </c>
      <c r="D103" s="55"/>
      <c r="E103" s="22"/>
      <c r="F103" s="22"/>
      <c r="G103" s="22"/>
      <c r="H103" s="22"/>
      <c r="I103" s="22"/>
      <c r="J103" s="22"/>
      <c r="K103" s="22"/>
      <c r="L103" s="22"/>
      <c r="M103" s="22"/>
      <c r="N103" s="22"/>
      <c r="O103" s="22"/>
      <c r="P103" s="22"/>
      <c r="Q103" s="22"/>
      <c r="R103" s="27"/>
    </row>
    <row r="104" spans="1:18" ht="12.95" hidden="1" customHeight="1" outlineLevel="1" x14ac:dyDescent="0.2">
      <c r="A104" s="48" t="s">
        <v>580</v>
      </c>
      <c r="B104" s="48"/>
      <c r="C104" s="29" t="s">
        <v>581</v>
      </c>
      <c r="D104" s="55"/>
      <c r="E104" s="22"/>
      <c r="F104" s="22"/>
      <c r="G104" s="22"/>
      <c r="H104" s="22"/>
      <c r="I104" s="22"/>
      <c r="J104" s="22"/>
      <c r="K104" s="22"/>
      <c r="L104" s="22"/>
      <c r="M104" s="22"/>
      <c r="N104" s="22"/>
      <c r="O104" s="22"/>
      <c r="P104" s="22"/>
      <c r="Q104" s="22"/>
      <c r="R104" s="27"/>
    </row>
    <row r="105" spans="1:18" ht="12.95" hidden="1" customHeight="1" outlineLevel="1" x14ac:dyDescent="0.2">
      <c r="A105" s="48" t="s">
        <v>582</v>
      </c>
      <c r="B105" s="48"/>
      <c r="C105" s="29" t="s">
        <v>583</v>
      </c>
      <c r="D105" s="55"/>
      <c r="E105" s="22"/>
      <c r="F105" s="22"/>
      <c r="G105" s="22"/>
      <c r="H105" s="22"/>
      <c r="I105" s="22"/>
      <c r="J105" s="22"/>
      <c r="K105" s="22"/>
      <c r="L105" s="22"/>
      <c r="M105" s="22"/>
      <c r="N105" s="22"/>
      <c r="O105" s="22"/>
      <c r="P105" s="22"/>
      <c r="Q105" s="22"/>
      <c r="R105" s="27"/>
    </row>
    <row r="106" spans="1:18" ht="12.95" hidden="1" customHeight="1" outlineLevel="1" x14ac:dyDescent="0.2">
      <c r="A106" s="48" t="s">
        <v>584</v>
      </c>
      <c r="B106" s="48"/>
      <c r="C106" s="29" t="s">
        <v>585</v>
      </c>
      <c r="D106" s="55"/>
      <c r="E106" s="22"/>
      <c r="F106" s="22"/>
      <c r="G106" s="22"/>
      <c r="H106" s="22"/>
      <c r="I106" s="22"/>
      <c r="J106" s="22"/>
      <c r="K106" s="22"/>
      <c r="L106" s="22"/>
      <c r="M106" s="22"/>
      <c r="N106" s="22"/>
      <c r="O106" s="22"/>
      <c r="P106" s="22"/>
      <c r="Q106" s="22"/>
      <c r="R106" s="27"/>
    </row>
    <row r="107" spans="1:18" ht="12.95" hidden="1" customHeight="1" outlineLevel="1" x14ac:dyDescent="0.2">
      <c r="A107" s="48" t="s">
        <v>586</v>
      </c>
      <c r="B107" s="48"/>
      <c r="C107" s="29" t="s">
        <v>587</v>
      </c>
      <c r="D107" s="55"/>
      <c r="E107" s="22"/>
      <c r="F107" s="22"/>
      <c r="G107" s="22"/>
      <c r="H107" s="22"/>
      <c r="I107" s="22"/>
      <c r="J107" s="22"/>
      <c r="K107" s="22"/>
      <c r="L107" s="22"/>
      <c r="M107" s="22"/>
      <c r="N107" s="22"/>
      <c r="O107" s="22"/>
      <c r="P107" s="22"/>
      <c r="Q107" s="22"/>
      <c r="R107" s="27"/>
    </row>
    <row r="108" spans="1:18" ht="12.95" hidden="1" customHeight="1" outlineLevel="1" x14ac:dyDescent="0.2">
      <c r="A108" s="48" t="s">
        <v>588</v>
      </c>
      <c r="B108" s="48"/>
      <c r="C108" s="29" t="s">
        <v>589</v>
      </c>
      <c r="D108" s="55"/>
      <c r="E108" s="22"/>
      <c r="F108" s="22"/>
      <c r="G108" s="22"/>
      <c r="H108" s="22"/>
      <c r="I108" s="22"/>
      <c r="J108" s="22"/>
      <c r="K108" s="22"/>
      <c r="L108" s="22"/>
      <c r="M108" s="22"/>
      <c r="N108" s="22"/>
      <c r="O108" s="22"/>
      <c r="P108" s="22"/>
      <c r="Q108" s="22"/>
      <c r="R108" s="27"/>
    </row>
    <row r="109" spans="1:18" ht="12.95" hidden="1" customHeight="1" outlineLevel="1" x14ac:dyDescent="0.2">
      <c r="A109" s="48" t="s">
        <v>590</v>
      </c>
      <c r="B109" s="48"/>
      <c r="C109" s="29" t="s">
        <v>591</v>
      </c>
      <c r="D109" s="59"/>
      <c r="E109" s="22"/>
      <c r="F109" s="22"/>
      <c r="G109" s="22"/>
      <c r="H109" s="22"/>
      <c r="I109" s="22"/>
      <c r="J109" s="22"/>
      <c r="K109" s="22"/>
      <c r="L109" s="22"/>
      <c r="M109" s="22"/>
      <c r="N109" s="22"/>
      <c r="O109" s="22"/>
      <c r="P109" s="22"/>
      <c r="Q109" s="22"/>
      <c r="R109" s="27"/>
    </row>
    <row r="110" spans="1:18" ht="12.95" hidden="1" customHeight="1" outlineLevel="1" x14ac:dyDescent="0.2">
      <c r="A110" s="48"/>
      <c r="B110" s="48"/>
      <c r="C110" s="29"/>
      <c r="D110" s="60"/>
      <c r="E110" s="22"/>
      <c r="F110" s="22"/>
      <c r="G110" s="22"/>
      <c r="H110" s="22"/>
      <c r="I110" s="22"/>
      <c r="J110" s="22"/>
      <c r="K110" s="22"/>
      <c r="L110" s="22"/>
      <c r="M110" s="22"/>
      <c r="N110" s="22"/>
      <c r="O110" s="22"/>
      <c r="P110" s="22"/>
      <c r="Q110" s="22"/>
      <c r="R110" s="27"/>
    </row>
    <row r="111" spans="1:18" ht="12.95" customHeight="1" collapsed="1" x14ac:dyDescent="0.2">
      <c r="A111" s="14" t="s">
        <v>419</v>
      </c>
      <c r="B111" s="14"/>
      <c r="C111" s="22"/>
      <c r="D111" s="60"/>
      <c r="E111" s="22"/>
      <c r="F111" s="22"/>
      <c r="G111" s="22"/>
      <c r="H111" s="22"/>
      <c r="I111" s="22"/>
      <c r="J111" s="22"/>
      <c r="K111" s="22"/>
      <c r="L111" s="22"/>
      <c r="M111" s="22"/>
      <c r="N111" s="22"/>
      <c r="O111" s="22"/>
      <c r="P111" s="22"/>
      <c r="Q111" s="22"/>
      <c r="R111" s="23"/>
    </row>
    <row r="112" spans="1:18" ht="12.95" customHeight="1" x14ac:dyDescent="0.2">
      <c r="A112" s="26"/>
      <c r="B112" s="26"/>
      <c r="C112" s="22"/>
      <c r="D112" s="60"/>
      <c r="E112" s="22"/>
      <c r="F112" s="22"/>
      <c r="G112" s="22"/>
      <c r="H112" s="22"/>
      <c r="I112" s="22"/>
      <c r="J112" s="22"/>
      <c r="K112" s="22"/>
      <c r="L112" s="22"/>
      <c r="M112" s="22"/>
      <c r="N112" s="22"/>
      <c r="O112" s="22"/>
      <c r="P112" s="22"/>
      <c r="Q112" s="22"/>
      <c r="R112" s="23"/>
    </row>
    <row r="113" spans="1:31" ht="15" customHeight="1" x14ac:dyDescent="0.2">
      <c r="A113" s="61"/>
      <c r="B113" s="61"/>
      <c r="C113" s="62" t="s">
        <v>592</v>
      </c>
      <c r="D113" s="63"/>
      <c r="E113" s="63"/>
      <c r="F113" s="63"/>
      <c r="G113" s="63"/>
      <c r="H113" s="63"/>
      <c r="I113" s="63"/>
      <c r="J113" s="63"/>
      <c r="K113" s="63"/>
      <c r="L113" s="63"/>
      <c r="M113" s="63"/>
      <c r="N113" s="63"/>
      <c r="O113" s="63"/>
      <c r="P113" s="63"/>
      <c r="Q113" s="63"/>
      <c r="R113" s="64"/>
    </row>
    <row r="114" spans="1:31" ht="12.95" customHeight="1" x14ac:dyDescent="0.2">
      <c r="A114" s="26" t="s">
        <v>593</v>
      </c>
      <c r="B114" s="26"/>
      <c r="C114" s="65" t="s">
        <v>349</v>
      </c>
      <c r="D114" s="66"/>
      <c r="E114" s="66" t="str">
        <f t="shared" ref="E114:Q114" si="2">E117&amp;E115&amp;E116</f>
        <v>FY2022A</v>
      </c>
      <c r="F114" s="66" t="str">
        <f t="shared" si="2"/>
        <v>FY2023A</v>
      </c>
      <c r="G114" s="66" t="str">
        <f t="shared" si="2"/>
        <v>FY2024A</v>
      </c>
      <c r="H114" s="66" t="str">
        <f t="shared" si="2"/>
        <v>FY2025F</v>
      </c>
      <c r="I114" s="66" t="str">
        <f t="shared" si="2"/>
        <v>FY2026F</v>
      </c>
      <c r="J114" s="66" t="str">
        <f t="shared" si="2"/>
        <v>FY2027F</v>
      </c>
      <c r="K114" s="66" t="str">
        <f t="shared" si="2"/>
        <v>FY2028F</v>
      </c>
      <c r="L114" s="66" t="str">
        <f t="shared" si="2"/>
        <v>FY2029F</v>
      </c>
      <c r="M114" s="66" t="str">
        <f t="shared" si="2"/>
        <v>FY2030F</v>
      </c>
      <c r="N114" s="66" t="str">
        <f t="shared" si="2"/>
        <v>FY2031F</v>
      </c>
      <c r="O114" s="66" t="str">
        <f t="shared" si="2"/>
        <v>FY2032F</v>
      </c>
      <c r="P114" s="66" t="str">
        <f t="shared" si="2"/>
        <v>FY2033F</v>
      </c>
      <c r="Q114" s="66" t="str">
        <f t="shared" si="2"/>
        <v>FY2034F</v>
      </c>
      <c r="R114" s="67" t="s">
        <v>594</v>
      </c>
    </row>
    <row r="115" spans="1:31" ht="12.95" customHeight="1" x14ac:dyDescent="0.2">
      <c r="A115" s="26" t="s">
        <v>595</v>
      </c>
      <c r="B115" s="26"/>
      <c r="C115" s="68" t="s">
        <v>596</v>
      </c>
      <c r="D115" s="69"/>
      <c r="E115" s="69">
        <v>2022</v>
      </c>
      <c r="F115" s="69">
        <f t="shared" ref="F115:Q115" si="3">E115+1</f>
        <v>2023</v>
      </c>
      <c r="G115" s="69">
        <f t="shared" si="3"/>
        <v>2024</v>
      </c>
      <c r="H115" s="69">
        <f t="shared" si="3"/>
        <v>2025</v>
      </c>
      <c r="I115" s="69">
        <f t="shared" si="3"/>
        <v>2026</v>
      </c>
      <c r="J115" s="69">
        <f t="shared" si="3"/>
        <v>2027</v>
      </c>
      <c r="K115" s="69">
        <f t="shared" si="3"/>
        <v>2028</v>
      </c>
      <c r="L115" s="69">
        <f t="shared" si="3"/>
        <v>2029</v>
      </c>
      <c r="M115" s="69">
        <f t="shared" si="3"/>
        <v>2030</v>
      </c>
      <c r="N115" s="69">
        <f t="shared" si="3"/>
        <v>2031</v>
      </c>
      <c r="O115" s="69">
        <f t="shared" si="3"/>
        <v>2032</v>
      </c>
      <c r="P115" s="69">
        <f t="shared" si="3"/>
        <v>2033</v>
      </c>
      <c r="Q115" s="69">
        <f t="shared" si="3"/>
        <v>2034</v>
      </c>
      <c r="R115" s="1"/>
    </row>
    <row r="116" spans="1:31" ht="12.95" customHeight="1" x14ac:dyDescent="0.2">
      <c r="A116" s="26" t="s">
        <v>597</v>
      </c>
      <c r="B116" s="26"/>
      <c r="C116" s="68" t="s">
        <v>598</v>
      </c>
      <c r="D116" s="69"/>
      <c r="E116" s="69" t="s">
        <v>20</v>
      </c>
      <c r="F116" s="69" t="s">
        <v>20</v>
      </c>
      <c r="G116" s="69" t="s">
        <v>20</v>
      </c>
      <c r="H116" s="69" t="s">
        <v>599</v>
      </c>
      <c r="I116" s="69" t="s">
        <v>599</v>
      </c>
      <c r="J116" s="69" t="s">
        <v>599</v>
      </c>
      <c r="K116" s="69" t="s">
        <v>599</v>
      </c>
      <c r="L116" s="69" t="s">
        <v>599</v>
      </c>
      <c r="M116" s="69" t="s">
        <v>599</v>
      </c>
      <c r="N116" s="69" t="s">
        <v>599</v>
      </c>
      <c r="O116" s="69" t="s">
        <v>599</v>
      </c>
      <c r="P116" s="69" t="s">
        <v>599</v>
      </c>
      <c r="Q116" s="69" t="s">
        <v>599</v>
      </c>
      <c r="R116" s="1"/>
    </row>
    <row r="117" spans="1:31" ht="12.95" customHeight="1" x14ac:dyDescent="0.2">
      <c r="A117" s="26" t="s">
        <v>600</v>
      </c>
      <c r="B117" s="26"/>
      <c r="C117" s="68" t="s">
        <v>601</v>
      </c>
      <c r="D117" s="69"/>
      <c r="E117" s="69" t="s">
        <v>13</v>
      </c>
      <c r="F117" s="69" t="s">
        <v>13</v>
      </c>
      <c r="G117" s="69" t="s">
        <v>13</v>
      </c>
      <c r="H117" s="69" t="s">
        <v>13</v>
      </c>
      <c r="I117" s="69" t="s">
        <v>13</v>
      </c>
      <c r="J117" s="69" t="s">
        <v>13</v>
      </c>
      <c r="K117" s="69" t="s">
        <v>13</v>
      </c>
      <c r="L117" s="69" t="s">
        <v>13</v>
      </c>
      <c r="M117" s="69" t="s">
        <v>13</v>
      </c>
      <c r="N117" s="69" t="s">
        <v>13</v>
      </c>
      <c r="O117" s="69" t="s">
        <v>13</v>
      </c>
      <c r="P117" s="69" t="s">
        <v>13</v>
      </c>
      <c r="Q117" s="69" t="s">
        <v>13</v>
      </c>
      <c r="R117" s="1"/>
    </row>
    <row r="118" spans="1:31" ht="12.6" customHeight="1" x14ac:dyDescent="0.2">
      <c r="A118" s="26" t="s">
        <v>602</v>
      </c>
      <c r="B118" s="26"/>
      <c r="C118" s="68" t="s">
        <v>603</v>
      </c>
      <c r="D118" s="69"/>
      <c r="E118" s="69" t="s">
        <v>604</v>
      </c>
      <c r="F118" s="69" t="s">
        <v>604</v>
      </c>
      <c r="G118" s="69" t="s">
        <v>604</v>
      </c>
      <c r="H118" s="69" t="s">
        <v>604</v>
      </c>
      <c r="I118" s="69" t="s">
        <v>604</v>
      </c>
      <c r="J118" s="69" t="s">
        <v>604</v>
      </c>
      <c r="K118" s="69" t="s">
        <v>604</v>
      </c>
      <c r="L118" s="69" t="s">
        <v>604</v>
      </c>
      <c r="M118" s="69" t="s">
        <v>604</v>
      </c>
      <c r="N118" s="69" t="s">
        <v>604</v>
      </c>
      <c r="O118" s="69" t="s">
        <v>604</v>
      </c>
      <c r="P118" s="69" t="s">
        <v>604</v>
      </c>
      <c r="Q118" s="69" t="s">
        <v>604</v>
      </c>
      <c r="R118" s="1"/>
    </row>
    <row r="119" spans="1:31" ht="12.6" customHeight="1" x14ac:dyDescent="0.2">
      <c r="A119" s="26"/>
      <c r="B119" s="26"/>
      <c r="C119" s="70"/>
      <c r="D119" s="71"/>
      <c r="E119" s="71"/>
      <c r="F119" s="71"/>
      <c r="G119" s="71"/>
      <c r="H119" s="71"/>
      <c r="I119" s="71"/>
      <c r="J119" s="71"/>
      <c r="K119" s="71"/>
      <c r="L119" s="71"/>
      <c r="M119" s="71"/>
      <c r="N119" s="71"/>
      <c r="O119" s="71"/>
      <c r="P119" s="71"/>
      <c r="Q119" s="71"/>
      <c r="R119" s="1"/>
    </row>
    <row r="120" spans="1:31" ht="12.95" customHeight="1" x14ac:dyDescent="0.2">
      <c r="A120" s="26"/>
      <c r="B120" s="26"/>
      <c r="C120" s="62" t="s">
        <v>605</v>
      </c>
      <c r="D120" s="72"/>
      <c r="E120" s="63"/>
      <c r="F120" s="72"/>
      <c r="G120" s="63"/>
      <c r="H120" s="72"/>
      <c r="I120" s="72"/>
      <c r="J120" s="72"/>
      <c r="K120" s="72"/>
      <c r="L120" s="72"/>
      <c r="M120" s="72"/>
      <c r="N120" s="72"/>
      <c r="O120" s="72"/>
      <c r="P120" s="72"/>
      <c r="Q120" s="72"/>
      <c r="R120" s="1"/>
    </row>
    <row r="121" spans="1:31" ht="12.95" customHeight="1" thickBot="1" x14ac:dyDescent="0.25">
      <c r="A121" s="26"/>
      <c r="B121" s="26"/>
      <c r="C121" s="73" t="s">
        <v>606</v>
      </c>
      <c r="D121" s="74"/>
      <c r="E121" s="75"/>
      <c r="F121" s="74"/>
      <c r="G121" s="75"/>
      <c r="H121" s="74"/>
      <c r="I121" s="74"/>
      <c r="J121" s="74"/>
      <c r="K121" s="74"/>
      <c r="L121" s="74"/>
      <c r="M121" s="74"/>
      <c r="N121" s="74"/>
      <c r="O121" s="74"/>
      <c r="P121" s="74"/>
      <c r="Q121" s="74"/>
      <c r="R121" s="1"/>
    </row>
    <row r="122" spans="1:31" ht="12.95" customHeight="1" x14ac:dyDescent="0.2">
      <c r="A122" s="26"/>
      <c r="B122" s="29" t="s">
        <v>607</v>
      </c>
      <c r="C122" s="76" t="s">
        <v>60</v>
      </c>
      <c r="D122" s="77"/>
      <c r="E122" s="78">
        <f t="shared" ref="E122:Q122" si="4">+E142</f>
        <v>0</v>
      </c>
      <c r="F122" s="79">
        <f t="shared" si="4"/>
        <v>0</v>
      </c>
      <c r="G122" s="79">
        <f t="shared" si="4"/>
        <v>0</v>
      </c>
      <c r="H122" s="79">
        <f t="shared" si="4"/>
        <v>134.6</v>
      </c>
      <c r="I122" s="79">
        <f t="shared" si="4"/>
        <v>145.4</v>
      </c>
      <c r="J122" s="79">
        <f t="shared" si="4"/>
        <v>166.66483272727277</v>
      </c>
      <c r="K122" s="79">
        <f t="shared" si="4"/>
        <v>174.99807436363636</v>
      </c>
      <c r="L122" s="79">
        <f t="shared" si="4"/>
        <v>183.74797808181819</v>
      </c>
      <c r="M122" s="79">
        <f t="shared" si="4"/>
        <v>192.93537698590916</v>
      </c>
      <c r="N122" s="79">
        <f t="shared" si="4"/>
        <v>202.58214583520459</v>
      </c>
      <c r="O122" s="79">
        <f t="shared" si="4"/>
        <v>212.71125312696486</v>
      </c>
      <c r="P122" s="79">
        <f t="shared" si="4"/>
        <v>223.34681578331308</v>
      </c>
      <c r="Q122" s="80">
        <f t="shared" si="4"/>
        <v>234.51415657247873</v>
      </c>
      <c r="R122" s="81" t="str">
        <f>_xll.BLUEMATRIX2("ExcelToolkitService",C122,$B$1,"[DivisionName:21]DIVISION")</f>
        <v>#</v>
      </c>
      <c r="S122" s="82" t="str">
        <f>_xll.BLUEMATRIX2("/servlet/excelData",E122,$B$1,$B122&amp;":"&amp;E$115&amp;":"&amp;$R$114)</f>
        <v>#</v>
      </c>
      <c r="T122" s="82" t="str">
        <f>_xll.BLUEMATRIX2("/servlet/excelData",F122,$B$1,$B122&amp;":"&amp;F$115&amp;":"&amp;$R$114)</f>
        <v>#</v>
      </c>
      <c r="U122" s="82" t="str">
        <f>_xll.BLUEMATRIX2("/servlet/excelData",G122,$B$1,$B122&amp;":"&amp;G$115&amp;":"&amp;$R$114)</f>
        <v>#</v>
      </c>
      <c r="V122" s="82" t="str">
        <f>_xll.BLUEMATRIX2("/servlet/excelData",H122,$B$1,$B122&amp;":"&amp;H$115&amp;":"&amp;$R$114)</f>
        <v>#</v>
      </c>
      <c r="W122" s="82" t="str">
        <f>_xll.BLUEMATRIX2("/servlet/excelData",I122,$B$1,$B122&amp;":"&amp;I$115&amp;":"&amp;$R$114)</f>
        <v>#</v>
      </c>
      <c r="X122" s="82" t="str">
        <f>_xll.BLUEMATRIX2("/servlet/excelData",J122,$B$1,$B122&amp;":"&amp;J$115&amp;":"&amp;$R$114)</f>
        <v>#</v>
      </c>
      <c r="Y122" s="82" t="str">
        <f>_xll.BLUEMATRIX2("/servlet/excelData",K122,$B$1,$B122&amp;":"&amp;K$115&amp;":"&amp;$R$114)</f>
        <v>#</v>
      </c>
      <c r="Z122" s="82" t="str">
        <f>_xll.BLUEMATRIX2("/servlet/excelData",L122,$B$1,$B122&amp;":"&amp;L$115&amp;":"&amp;$R$114)</f>
        <v>#</v>
      </c>
      <c r="AA122" s="82" t="str">
        <f>_xll.BLUEMATRIX2("/servlet/excelData",M122,$B$1,$B122&amp;":"&amp;M$115&amp;":"&amp;$R$114)</f>
        <v>#</v>
      </c>
      <c r="AB122" s="82" t="str">
        <f>_xll.BLUEMATRIX2("/servlet/excelData",N122,$B$1,$B122&amp;":"&amp;N$115&amp;":"&amp;$R$114)</f>
        <v>#</v>
      </c>
      <c r="AC122" s="82" t="str">
        <f>_xll.BLUEMATRIX2("/servlet/excelData",O122,$B$1,$B122&amp;":"&amp;O$115&amp;":"&amp;$R$114)</f>
        <v>#</v>
      </c>
      <c r="AD122" s="82" t="str">
        <f>_xll.BLUEMATRIX2("/servlet/excelData",P122,$B$1,$B122&amp;":"&amp;P$115&amp;":"&amp;$R$114)</f>
        <v>#</v>
      </c>
      <c r="AE122" s="82" t="str">
        <f>_xll.BLUEMATRIX2("/servlet/excelData",Q122,$B$1,$B122&amp;":"&amp;Q$115&amp;":"&amp;$R$114)</f>
        <v>#</v>
      </c>
    </row>
    <row r="123" spans="1:31" ht="12.95" customHeight="1" x14ac:dyDescent="0.2">
      <c r="A123" s="26"/>
      <c r="B123" s="29" t="s">
        <v>608</v>
      </c>
      <c r="C123" s="76" t="s">
        <v>75</v>
      </c>
      <c r="D123" s="77"/>
      <c r="E123" s="83">
        <f t="shared" ref="E123:Q123" si="5">+E149</f>
        <v>0</v>
      </c>
      <c r="F123" s="84">
        <f t="shared" si="5"/>
        <v>0</v>
      </c>
      <c r="G123" s="84">
        <f t="shared" si="5"/>
        <v>0</v>
      </c>
      <c r="H123" s="84">
        <f t="shared" si="5"/>
        <v>7.2</v>
      </c>
      <c r="I123" s="84">
        <f t="shared" si="5"/>
        <v>-7.1</v>
      </c>
      <c r="J123" s="84">
        <f t="shared" si="5"/>
        <v>16.471692986595372</v>
      </c>
      <c r="K123" s="84">
        <f t="shared" si="5"/>
        <v>21.580367708525142</v>
      </c>
      <c r="L123" s="84">
        <f t="shared" si="5"/>
        <v>25.531053994271389</v>
      </c>
      <c r="M123" s="84">
        <f t="shared" si="5"/>
        <v>28.423655630834983</v>
      </c>
      <c r="N123" s="84">
        <f t="shared" si="5"/>
        <v>30.971771014470328</v>
      </c>
      <c r="O123" s="84">
        <f t="shared" si="5"/>
        <v>32.533472289193867</v>
      </c>
      <c r="P123" s="84">
        <f t="shared" si="5"/>
        <v>34.173652009373534</v>
      </c>
      <c r="Q123" s="85">
        <f t="shared" si="5"/>
        <v>35.896245898733802</v>
      </c>
      <c r="R123" s="81" t="str">
        <f>_xll.BLUEMATRIX2("ExcelToolkitService",C123,$B$1,"[DivisionName:22]DIVISION")</f>
        <v>#</v>
      </c>
      <c r="S123" s="82" t="str">
        <f>_xll.BLUEMATRIX2("/servlet/excelData",E123,$B$1,$B123&amp;":"&amp;E$115&amp;":"&amp;$R$114)</f>
        <v>#</v>
      </c>
      <c r="T123" s="82" t="str">
        <f>_xll.BLUEMATRIX2("/servlet/excelData",F123,$B$1,$B123&amp;":"&amp;F$115&amp;":"&amp;$R$114)</f>
        <v>#</v>
      </c>
      <c r="U123" s="82" t="str">
        <f>_xll.BLUEMATRIX2("/servlet/excelData",G123,$B$1,$B123&amp;":"&amp;G$115&amp;":"&amp;$R$114)</f>
        <v>#</v>
      </c>
      <c r="V123" s="82" t="str">
        <f>_xll.BLUEMATRIX2("/servlet/excelData",H123,$B$1,$B123&amp;":"&amp;H$115&amp;":"&amp;$R$114)</f>
        <v>#</v>
      </c>
      <c r="W123" s="82" t="str">
        <f>_xll.BLUEMATRIX2("/servlet/excelData",I123,$B$1,$B123&amp;":"&amp;I$115&amp;":"&amp;$R$114)</f>
        <v>#</v>
      </c>
      <c r="X123" s="82" t="str">
        <f>_xll.BLUEMATRIX2("/servlet/excelData",J123,$B$1,$B123&amp;":"&amp;J$115&amp;":"&amp;$R$114)</f>
        <v>#</v>
      </c>
      <c r="Y123" s="82" t="str">
        <f>_xll.BLUEMATRIX2("/servlet/excelData",K123,$B$1,$B123&amp;":"&amp;K$115&amp;":"&amp;$R$114)</f>
        <v>#</v>
      </c>
      <c r="Z123" s="82" t="str">
        <f>_xll.BLUEMATRIX2("/servlet/excelData",L123,$B$1,$B123&amp;":"&amp;L$115&amp;":"&amp;$R$114)</f>
        <v>#</v>
      </c>
      <c r="AA123" s="82" t="str">
        <f>_xll.BLUEMATRIX2("/servlet/excelData",M123,$B$1,$B123&amp;":"&amp;M$115&amp;":"&amp;$R$114)</f>
        <v>#</v>
      </c>
      <c r="AB123" s="82" t="str">
        <f>_xll.BLUEMATRIX2("/servlet/excelData",N123,$B$1,$B123&amp;":"&amp;N$115&amp;":"&amp;$R$114)</f>
        <v>#</v>
      </c>
      <c r="AC123" s="82" t="str">
        <f>_xll.BLUEMATRIX2("/servlet/excelData",O123,$B$1,$B123&amp;":"&amp;O$115&amp;":"&amp;$R$114)</f>
        <v>#</v>
      </c>
      <c r="AD123" s="82" t="str">
        <f>_xll.BLUEMATRIX2("/servlet/excelData",P123,$B$1,$B123&amp;":"&amp;P$115&amp;":"&amp;$R$114)</f>
        <v>#</v>
      </c>
      <c r="AE123" s="82" t="str">
        <f>_xll.BLUEMATRIX2("/servlet/excelData",Q123,$B$1,$B123&amp;":"&amp;Q$115&amp;":"&amp;$R$114)</f>
        <v>#</v>
      </c>
    </row>
    <row r="124" spans="1:31" ht="12.95" customHeight="1" x14ac:dyDescent="0.2">
      <c r="A124" s="26"/>
      <c r="B124" s="29" t="s">
        <v>609</v>
      </c>
      <c r="C124" s="76" t="s">
        <v>610</v>
      </c>
      <c r="D124" s="77"/>
      <c r="E124" s="86">
        <f t="shared" ref="E124:Q124" si="6">+E298</f>
        <v>0</v>
      </c>
      <c r="F124" s="87" t="e">
        <f t="shared" si="6"/>
        <v>#VALUE!</v>
      </c>
      <c r="G124" s="87" t="e">
        <f t="shared" si="6"/>
        <v>#VALUE!</v>
      </c>
      <c r="H124" s="87">
        <f t="shared" si="6"/>
        <v>0.7262481918925956</v>
      </c>
      <c r="I124" s="87">
        <f t="shared" si="6"/>
        <v>-1.9982392047061253</v>
      </c>
      <c r="J124" s="87">
        <f t="shared" si="6"/>
        <v>0.34459552315098196</v>
      </c>
      <c r="K124" s="87">
        <f t="shared" si="6"/>
        <v>0.61845514546446334</v>
      </c>
      <c r="L124" s="87">
        <f t="shared" si="6"/>
        <v>0.81264496079026283</v>
      </c>
      <c r="M124" s="87">
        <f t="shared" si="6"/>
        <v>1.0018446107847354</v>
      </c>
      <c r="N124" s="87">
        <f t="shared" si="6"/>
        <v>1.1735372835081244</v>
      </c>
      <c r="O124" s="87">
        <f t="shared" si="6"/>
        <v>1.2746408444977317</v>
      </c>
      <c r="P124" s="87">
        <f t="shared" si="6"/>
        <v>1.3762881295776224</v>
      </c>
      <c r="Q124" s="88">
        <f t="shared" si="6"/>
        <v>1.4784061887713322</v>
      </c>
      <c r="R124" s="81" t="str">
        <f>_xll.BLUEMATRIX2("ExcelToolkitService",C124,$B$1,"[DivisionName:23]DIVISION")</f>
        <v>#</v>
      </c>
      <c r="S124" s="82" t="str">
        <f>_xll.BLUEMATRIX2("/servlet/excelData",E124,$B$1,$B124&amp;":"&amp;E$115&amp;":"&amp;$R$114)</f>
        <v>#</v>
      </c>
      <c r="T124" s="82" t="e">
        <f>_xll.BLUEMATRIX2("/servlet/excelData",F124,$B$1,$B124&amp;":"&amp;F$115&amp;":"&amp;$R$114)</f>
        <v>#VALUE!</v>
      </c>
      <c r="U124" s="82" t="e">
        <f>_xll.BLUEMATRIX2("/servlet/excelData",G124,$B$1,$B124&amp;":"&amp;G$115&amp;":"&amp;$R$114)</f>
        <v>#VALUE!</v>
      </c>
      <c r="V124" s="82" t="str">
        <f>_xll.BLUEMATRIX2("/servlet/excelData",H124,$B$1,$B124&amp;":"&amp;H$115&amp;":"&amp;$R$114)</f>
        <v>#</v>
      </c>
      <c r="W124" s="82" t="str">
        <f>_xll.BLUEMATRIX2("/servlet/excelData",I124,$B$1,$B124&amp;":"&amp;I$115&amp;":"&amp;$R$114)</f>
        <v>#</v>
      </c>
      <c r="X124" s="82" t="str">
        <f>_xll.BLUEMATRIX2("/servlet/excelData",J124,$B$1,$B124&amp;":"&amp;J$115&amp;":"&amp;$R$114)</f>
        <v>#</v>
      </c>
      <c r="Y124" s="82" t="str">
        <f>_xll.BLUEMATRIX2("/servlet/excelData",K124,$B$1,$B124&amp;":"&amp;K$115&amp;":"&amp;$R$114)</f>
        <v>#</v>
      </c>
      <c r="Z124" s="82" t="str">
        <f>_xll.BLUEMATRIX2("/servlet/excelData",L124,$B$1,$B124&amp;":"&amp;L$115&amp;":"&amp;$R$114)</f>
        <v>#</v>
      </c>
      <c r="AA124" s="82" t="str">
        <f>_xll.BLUEMATRIX2("/servlet/excelData",M124,$B$1,$B124&amp;":"&amp;M$115&amp;":"&amp;$R$114)</f>
        <v>#</v>
      </c>
      <c r="AB124" s="82" t="str">
        <f>_xll.BLUEMATRIX2("/servlet/excelData",N124,$B$1,$B124&amp;":"&amp;N$115&amp;":"&amp;$R$114)</f>
        <v>#</v>
      </c>
      <c r="AC124" s="82" t="str">
        <f>_xll.BLUEMATRIX2("/servlet/excelData",O124,$B$1,$B124&amp;":"&amp;O$115&amp;":"&amp;$R$114)</f>
        <v>#</v>
      </c>
      <c r="AD124" s="82" t="str">
        <f>_xll.BLUEMATRIX2("/servlet/excelData",P124,$B$1,$B124&amp;":"&amp;P$115&amp;":"&amp;$R$114)</f>
        <v>#</v>
      </c>
      <c r="AE124" s="82" t="str">
        <f>_xll.BLUEMATRIX2("/servlet/excelData",Q124,$B$1,$B124&amp;":"&amp;Q$115&amp;":"&amp;$R$114)</f>
        <v>#</v>
      </c>
    </row>
    <row r="125" spans="1:31" ht="12.95" customHeight="1" thickBot="1" x14ac:dyDescent="0.25">
      <c r="A125" s="26"/>
      <c r="B125" s="29" t="s">
        <v>611</v>
      </c>
      <c r="C125" s="76" t="s">
        <v>93</v>
      </c>
      <c r="D125" s="77"/>
      <c r="E125" s="89">
        <f t="shared" ref="E125:Q125" si="7">+E302</f>
        <v>0</v>
      </c>
      <c r="F125" s="90">
        <f t="shared" si="7"/>
        <v>0</v>
      </c>
      <c r="G125" s="90">
        <f t="shared" si="7"/>
        <v>0</v>
      </c>
      <c r="H125" s="90">
        <f t="shared" si="7"/>
        <v>0</v>
      </c>
      <c r="I125" s="90">
        <f t="shared" si="7"/>
        <v>0</v>
      </c>
      <c r="J125" s="90">
        <f t="shared" si="7"/>
        <v>0</v>
      </c>
      <c r="K125" s="90">
        <f t="shared" si="7"/>
        <v>0</v>
      </c>
      <c r="L125" s="90">
        <f t="shared" si="7"/>
        <v>0</v>
      </c>
      <c r="M125" s="90">
        <f t="shared" si="7"/>
        <v>0</v>
      </c>
      <c r="N125" s="90">
        <f t="shared" si="7"/>
        <v>0</v>
      </c>
      <c r="O125" s="90">
        <f t="shared" si="7"/>
        <v>0</v>
      </c>
      <c r="P125" s="90">
        <f t="shared" si="7"/>
        <v>0</v>
      </c>
      <c r="Q125" s="91">
        <f t="shared" si="7"/>
        <v>0</v>
      </c>
      <c r="R125" s="81" t="str">
        <f>_xll.BLUEMATRIX2("ExcelToolkitService",C125,$B$1,"[DivisionName:24]DIVISION")</f>
        <v>#</v>
      </c>
      <c r="S125" s="82" t="str">
        <f>_xll.BLUEMATRIX2("/servlet/excelData",E125,$B$1,$B125&amp;":"&amp;E$115&amp;":"&amp;$R$114)</f>
        <v>#</v>
      </c>
      <c r="T125" s="82" t="str">
        <f>_xll.BLUEMATRIX2("/servlet/excelData",F125,$B$1,$B125&amp;":"&amp;F$115&amp;":"&amp;$R$114)</f>
        <v>#</v>
      </c>
      <c r="U125" s="82" t="str">
        <f>_xll.BLUEMATRIX2("/servlet/excelData",G125,$B$1,$B125&amp;":"&amp;G$115&amp;":"&amp;$R$114)</f>
        <v>#</v>
      </c>
      <c r="V125" s="82" t="str">
        <f>_xll.BLUEMATRIX2("/servlet/excelData",H125,$B$1,$B125&amp;":"&amp;H$115&amp;":"&amp;$R$114)</f>
        <v>#</v>
      </c>
      <c r="W125" s="82" t="str">
        <f>_xll.BLUEMATRIX2("/servlet/excelData",I125,$B$1,$B125&amp;":"&amp;I$115&amp;":"&amp;$R$114)</f>
        <v>#</v>
      </c>
      <c r="X125" s="82" t="str">
        <f>_xll.BLUEMATRIX2("/servlet/excelData",J125,$B$1,$B125&amp;":"&amp;J$115&amp;":"&amp;$R$114)</f>
        <v>#</v>
      </c>
      <c r="Y125" s="82" t="str">
        <f>_xll.BLUEMATRIX2("/servlet/excelData",K125,$B$1,$B125&amp;":"&amp;K$115&amp;":"&amp;$R$114)</f>
        <v>#</v>
      </c>
      <c r="Z125" s="82" t="str">
        <f>_xll.BLUEMATRIX2("/servlet/excelData",L125,$B$1,$B125&amp;":"&amp;L$115&amp;":"&amp;$R$114)</f>
        <v>#</v>
      </c>
      <c r="AA125" s="82" t="str">
        <f>_xll.BLUEMATRIX2("/servlet/excelData",M125,$B$1,$B125&amp;":"&amp;M$115&amp;":"&amp;$R$114)</f>
        <v>#</v>
      </c>
      <c r="AB125" s="82" t="str">
        <f>_xll.BLUEMATRIX2("/servlet/excelData",N125,$B$1,$B125&amp;":"&amp;N$115&amp;":"&amp;$R$114)</f>
        <v>#</v>
      </c>
      <c r="AC125" s="82" t="str">
        <f>_xll.BLUEMATRIX2("/servlet/excelData",O125,$B$1,$B125&amp;":"&amp;O$115&amp;":"&amp;$R$114)</f>
        <v>#</v>
      </c>
      <c r="AD125" s="82" t="str">
        <f>_xll.BLUEMATRIX2("/servlet/excelData",P125,$B$1,$B125&amp;":"&amp;P$115&amp;":"&amp;$R$114)</f>
        <v>#</v>
      </c>
      <c r="AE125" s="82" t="str">
        <f>_xll.BLUEMATRIX2("/servlet/excelData",Q125,$B$1,$B125&amp;":"&amp;Q$115&amp;":"&amp;$R$114)</f>
        <v>#</v>
      </c>
    </row>
    <row r="126" spans="1:31" ht="12.95" customHeight="1" x14ac:dyDescent="0.2">
      <c r="A126" s="26"/>
      <c r="B126" s="29"/>
      <c r="C126" s="76"/>
      <c r="D126" s="92"/>
      <c r="E126" s="92"/>
      <c r="F126" s="92"/>
      <c r="G126" s="92"/>
      <c r="H126" s="92"/>
      <c r="I126" s="92"/>
      <c r="J126" s="92"/>
      <c r="K126" s="92"/>
      <c r="L126" s="92"/>
      <c r="M126" s="92"/>
      <c r="N126" s="92"/>
      <c r="O126" s="92"/>
      <c r="P126" s="92"/>
      <c r="Q126" s="92"/>
      <c r="R126" s="93"/>
      <c r="S126" s="33"/>
      <c r="T126" s="33"/>
      <c r="U126" s="33"/>
      <c r="V126" s="33"/>
      <c r="W126" s="33"/>
      <c r="X126" s="33"/>
      <c r="Y126" s="33"/>
      <c r="Z126" s="33"/>
      <c r="AA126" s="33"/>
      <c r="AB126" s="33"/>
      <c r="AC126" s="33"/>
      <c r="AD126" s="33"/>
      <c r="AE126" s="33"/>
    </row>
    <row r="127" spans="1:31" ht="12.95" customHeight="1" thickBot="1" x14ac:dyDescent="0.25">
      <c r="A127" s="26"/>
      <c r="B127" s="29"/>
      <c r="C127" s="73" t="s">
        <v>612</v>
      </c>
      <c r="D127" s="92"/>
      <c r="E127" s="92"/>
      <c r="F127" s="92"/>
      <c r="G127" s="92"/>
      <c r="H127" s="92"/>
      <c r="I127" s="92"/>
      <c r="J127" s="92"/>
      <c r="K127" s="92"/>
      <c r="L127" s="92"/>
      <c r="M127" s="92"/>
      <c r="N127" s="92"/>
      <c r="O127" s="92"/>
      <c r="P127" s="92"/>
      <c r="Q127" s="92"/>
      <c r="R127" s="93"/>
      <c r="S127" s="33"/>
      <c r="T127" s="33"/>
      <c r="U127" s="33"/>
      <c r="V127" s="33"/>
      <c r="W127" s="33"/>
      <c r="X127" s="33"/>
      <c r="Y127" s="33"/>
      <c r="Z127" s="33"/>
      <c r="AA127" s="33"/>
      <c r="AB127" s="33"/>
      <c r="AC127" s="33"/>
      <c r="AD127" s="33"/>
      <c r="AE127" s="33"/>
    </row>
    <row r="128" spans="1:31" ht="12.95" customHeight="1" x14ac:dyDescent="0.2">
      <c r="A128" s="26"/>
      <c r="B128" s="29"/>
      <c r="C128" s="76" t="s">
        <v>613</v>
      </c>
      <c r="D128" s="92"/>
      <c r="E128" s="94">
        <v>0</v>
      </c>
      <c r="F128" s="95">
        <v>0</v>
      </c>
      <c r="G128" s="95">
        <v>0</v>
      </c>
      <c r="H128" s="95">
        <v>134.6</v>
      </c>
      <c r="I128" s="95">
        <v>145.4</v>
      </c>
      <c r="J128" s="95">
        <v>166.66483272727277</v>
      </c>
      <c r="K128" s="95">
        <v>174.99807436363636</v>
      </c>
      <c r="L128" s="95">
        <v>183.74797808181819</v>
      </c>
      <c r="M128" s="95">
        <v>192.93537698590916</v>
      </c>
      <c r="N128" s="95">
        <v>202.58214583520459</v>
      </c>
      <c r="O128" s="95">
        <v>212.71125312696486</v>
      </c>
      <c r="P128" s="95">
        <v>223.34681578331308</v>
      </c>
      <c r="Q128" s="96">
        <v>234.51415657247873</v>
      </c>
      <c r="R128" s="93"/>
      <c r="S128" s="33"/>
      <c r="T128" s="33"/>
      <c r="U128" s="33"/>
      <c r="V128" s="33"/>
      <c r="W128" s="33"/>
      <c r="X128" s="33"/>
      <c r="Y128" s="33"/>
      <c r="Z128" s="33"/>
      <c r="AA128" s="33"/>
      <c r="AB128" s="33"/>
      <c r="AC128" s="33"/>
      <c r="AD128" s="33"/>
      <c r="AE128" s="33"/>
    </row>
    <row r="129" spans="1:31" ht="12.95" customHeight="1" x14ac:dyDescent="0.2">
      <c r="A129" s="26"/>
      <c r="B129" s="29"/>
      <c r="C129" s="76" t="s">
        <v>614</v>
      </c>
      <c r="D129" s="92"/>
      <c r="E129" s="97">
        <v>0</v>
      </c>
      <c r="F129" s="98">
        <v>0</v>
      </c>
      <c r="G129" s="98">
        <v>0</v>
      </c>
      <c r="H129" s="98">
        <v>7.2</v>
      </c>
      <c r="I129" s="98">
        <v>-7.1</v>
      </c>
      <c r="J129" s="98">
        <v>16.471692986595372</v>
      </c>
      <c r="K129" s="98">
        <v>21.580367708525142</v>
      </c>
      <c r="L129" s="98">
        <v>25.531053994271389</v>
      </c>
      <c r="M129" s="98">
        <v>28.423655630834983</v>
      </c>
      <c r="N129" s="98">
        <v>30.971771014470328</v>
      </c>
      <c r="O129" s="98">
        <v>32.533472289193867</v>
      </c>
      <c r="P129" s="98">
        <v>34.173652009373534</v>
      </c>
      <c r="Q129" s="99">
        <v>35.896245898733802</v>
      </c>
      <c r="R129" s="93"/>
      <c r="S129" s="33"/>
      <c r="T129" s="33"/>
      <c r="U129" s="33"/>
      <c r="V129" s="33"/>
      <c r="W129" s="33"/>
      <c r="X129" s="33"/>
      <c r="Y129" s="33"/>
      <c r="Z129" s="33"/>
      <c r="AA129" s="33"/>
      <c r="AB129" s="33"/>
      <c r="AC129" s="33"/>
      <c r="AD129" s="33"/>
      <c r="AE129" s="33"/>
    </row>
    <row r="130" spans="1:31" ht="12.95" customHeight="1" x14ac:dyDescent="0.2">
      <c r="A130" s="26"/>
      <c r="B130" s="29"/>
      <c r="C130" s="76" t="s">
        <v>615</v>
      </c>
      <c r="D130" s="92"/>
      <c r="E130" s="100">
        <v>0</v>
      </c>
      <c r="F130" s="101" t="e">
        <v>#VALUE!</v>
      </c>
      <c r="G130" s="101" t="e">
        <v>#VALUE!</v>
      </c>
      <c r="H130" s="101">
        <v>0.7262481918925956</v>
      </c>
      <c r="I130" s="101">
        <v>-1.9982392047061253</v>
      </c>
      <c r="J130" s="101">
        <v>0.34459552315098196</v>
      </c>
      <c r="K130" s="101">
        <v>0.61845514546446334</v>
      </c>
      <c r="L130" s="101">
        <v>0.81264496079026283</v>
      </c>
      <c r="M130" s="101">
        <v>1.0018446107847354</v>
      </c>
      <c r="N130" s="101">
        <v>1.1735372835081244</v>
      </c>
      <c r="O130" s="101">
        <v>1.2746408444977317</v>
      </c>
      <c r="P130" s="101">
        <v>1.3762881295776224</v>
      </c>
      <c r="Q130" s="102">
        <v>1.4784061887713322</v>
      </c>
      <c r="R130" s="93"/>
      <c r="S130" s="33"/>
      <c r="T130" s="33"/>
      <c r="U130" s="33"/>
      <c r="V130" s="33"/>
      <c r="W130" s="33"/>
      <c r="X130" s="33"/>
      <c r="Y130" s="33"/>
      <c r="Z130" s="33"/>
      <c r="AA130" s="33"/>
      <c r="AB130" s="33"/>
      <c r="AC130" s="33"/>
      <c r="AD130" s="33"/>
      <c r="AE130" s="33"/>
    </row>
    <row r="131" spans="1:31" ht="12.95" customHeight="1" thickBot="1" x14ac:dyDescent="0.25">
      <c r="A131" s="26"/>
      <c r="B131" s="29"/>
      <c r="C131" s="76" t="s">
        <v>616</v>
      </c>
      <c r="D131" s="92"/>
      <c r="E131" s="103">
        <v>0</v>
      </c>
      <c r="F131" s="104">
        <v>0</v>
      </c>
      <c r="G131" s="104">
        <v>0</v>
      </c>
      <c r="H131" s="104">
        <v>0</v>
      </c>
      <c r="I131" s="104">
        <v>0</v>
      </c>
      <c r="J131" s="104">
        <v>0</v>
      </c>
      <c r="K131" s="104">
        <v>0</v>
      </c>
      <c r="L131" s="104">
        <v>0</v>
      </c>
      <c r="M131" s="104">
        <v>0</v>
      </c>
      <c r="N131" s="104">
        <v>0</v>
      </c>
      <c r="O131" s="104">
        <v>0</v>
      </c>
      <c r="P131" s="104">
        <v>0</v>
      </c>
      <c r="Q131" s="105">
        <v>0</v>
      </c>
      <c r="R131" s="93"/>
      <c r="S131" s="33"/>
      <c r="T131" s="33"/>
      <c r="U131" s="33"/>
      <c r="V131" s="33"/>
      <c r="W131" s="33"/>
      <c r="X131" s="33"/>
      <c r="Y131" s="33"/>
      <c r="Z131" s="33"/>
      <c r="AA131" s="33"/>
      <c r="AB131" s="33"/>
      <c r="AC131" s="33"/>
      <c r="AD131" s="33"/>
      <c r="AE131" s="33"/>
    </row>
    <row r="132" spans="1:31" ht="12.95" customHeight="1" x14ac:dyDescent="0.2">
      <c r="A132" s="26"/>
      <c r="B132" s="29"/>
      <c r="C132" s="76"/>
      <c r="D132" s="92"/>
      <c r="E132" s="92"/>
      <c r="F132" s="92"/>
      <c r="G132" s="92"/>
      <c r="H132" s="92"/>
      <c r="I132" s="92"/>
      <c r="J132" s="92"/>
      <c r="K132" s="92"/>
      <c r="L132" s="92"/>
      <c r="M132" s="92"/>
      <c r="N132" s="92"/>
      <c r="O132" s="92"/>
      <c r="P132" s="92"/>
      <c r="Q132" s="92"/>
      <c r="R132" s="93"/>
      <c r="S132" s="33"/>
      <c r="T132" s="33"/>
      <c r="U132" s="33"/>
      <c r="V132" s="33"/>
      <c r="W132" s="33"/>
      <c r="X132" s="33"/>
      <c r="Y132" s="33"/>
      <c r="Z132" s="33"/>
      <c r="AA132" s="33"/>
      <c r="AB132" s="33"/>
      <c r="AC132" s="33"/>
      <c r="AD132" s="33"/>
      <c r="AE132" s="33"/>
    </row>
    <row r="133" spans="1:31" ht="12.95" customHeight="1" x14ac:dyDescent="0.2">
      <c r="A133" s="26"/>
      <c r="B133" s="29"/>
      <c r="C133" s="73" t="s">
        <v>617</v>
      </c>
      <c r="D133" s="92"/>
      <c r="E133" s="92"/>
      <c r="F133" s="92"/>
      <c r="G133" s="92"/>
      <c r="H133" s="92"/>
      <c r="I133" s="92"/>
      <c r="J133" s="92"/>
      <c r="K133" s="92"/>
      <c r="L133" s="92"/>
      <c r="M133" s="92"/>
      <c r="N133" s="92"/>
      <c r="O133" s="92"/>
      <c r="P133" s="92"/>
      <c r="Q133" s="92"/>
      <c r="R133" s="93"/>
      <c r="S133" s="33"/>
      <c r="T133" s="33"/>
      <c r="U133" s="33"/>
      <c r="V133" s="33"/>
      <c r="W133" s="33"/>
      <c r="X133" s="33"/>
      <c r="Y133" s="33"/>
      <c r="Z133" s="33"/>
      <c r="AA133" s="33"/>
      <c r="AB133" s="33"/>
      <c r="AC133" s="33"/>
      <c r="AD133" s="33"/>
      <c r="AE133" s="33"/>
    </row>
    <row r="134" spans="1:31" ht="12.95" customHeight="1" x14ac:dyDescent="0.2">
      <c r="A134" s="26"/>
      <c r="B134" s="29" t="s">
        <v>618</v>
      </c>
      <c r="C134" s="76" t="s">
        <v>619</v>
      </c>
      <c r="D134" s="77"/>
      <c r="E134" s="77">
        <f t="array" ref="E134">_xlfn.IFS(AND(E128=0,E122=0),0,AND(E128=0,E122&lt;&gt;0),"nm",E128&lt;&gt;0,E122/E128-1)</f>
        <v>0</v>
      </c>
      <c r="F134" s="77">
        <f t="array" ref="F134">_xlfn.IFS(AND(F128=0,F122=0),0,AND(F128=0,F122&lt;&gt;0),"nm",F128&lt;&gt;0,F122/F128-1)</f>
        <v>0</v>
      </c>
      <c r="G134" s="77">
        <f t="array" ref="G134">_xlfn.IFS(AND(G128=0,G122=0),0,AND(G128=0,G122&lt;&gt;0),"nm",G128&lt;&gt;0,G122/G128-1)</f>
        <v>0</v>
      </c>
      <c r="H134" s="77">
        <f t="array" ref="H134">_xlfn.IFS(AND(H128=0,H122=0),0,AND(H128=0,H122&lt;&gt;0),"nm",H128&lt;&gt;0,H122/H128-1)</f>
        <v>0</v>
      </c>
      <c r="I134" s="77">
        <f t="array" ref="I134">_xlfn.IFS(AND(I128=0,I122=0),0,AND(I128=0,I122&lt;&gt;0),"nm",I128&lt;&gt;0,I122/I128-1)</f>
        <v>0</v>
      </c>
      <c r="J134" s="77">
        <f t="array" ref="J134">_xlfn.IFS(AND(J128=0,J122=0),0,AND(J128=0,J122&lt;&gt;0),"nm",J128&lt;&gt;0,J122/J128-1)</f>
        <v>0</v>
      </c>
      <c r="K134" s="77">
        <f t="array" ref="K134">_xlfn.IFS(AND(K128=0,K122=0),0,AND(K128=0,K122&lt;&gt;0),"nm",K128&lt;&gt;0,K122/K128-1)</f>
        <v>0</v>
      </c>
      <c r="L134" s="77">
        <f t="array" ref="L134">_xlfn.IFS(AND(L128=0,L122=0),0,AND(L128=0,L122&lt;&gt;0),"nm",L128&lt;&gt;0,L122/L128-1)</f>
        <v>0</v>
      </c>
      <c r="M134" s="77">
        <f t="array" ref="M134">_xlfn.IFS(AND(M128=0,M122=0),0,AND(M128=0,M122&lt;&gt;0),"nm",M128&lt;&gt;0,M122/M128-1)</f>
        <v>0</v>
      </c>
      <c r="N134" s="77">
        <f t="array" ref="N134">_xlfn.IFS(AND(N128=0,N122=0),0,AND(N128=0,N122&lt;&gt;0),"nm",N128&lt;&gt;0,N122/N128-1)</f>
        <v>0</v>
      </c>
      <c r="O134" s="77">
        <f t="array" ref="O134">_xlfn.IFS(AND(O128=0,O122=0),0,AND(O128=0,O122&lt;&gt;0),"nm",O128&lt;&gt;0,O122/O128-1)</f>
        <v>0</v>
      </c>
      <c r="P134" s="77">
        <f t="array" ref="P134">_xlfn.IFS(AND(P128=0,P122=0),0,AND(P128=0,P122&lt;&gt;0),"nm",P128&lt;&gt;0,P122/P128-1)</f>
        <v>0</v>
      </c>
      <c r="Q134" s="77">
        <f t="array" ref="Q134">_xlfn.IFS(AND(Q128=0,Q122=0),0,AND(Q128=0,Q122&lt;&gt;0),"nm",Q128&lt;&gt;0,Q122/Q128-1)</f>
        <v>0</v>
      </c>
      <c r="R134" s="81" t="str">
        <f>_xll.BLUEMATRIX2("ExcelToolkitService",C134,$B$1,"[DivisionName:25]DIVISION")</f>
        <v>#</v>
      </c>
      <c r="S134" s="82" t="str">
        <f>_xll.BLUEMATRIX2("/servlet/excelData",E134,$B$1,$B134&amp;":"&amp;E$115&amp;":"&amp;$R$114)</f>
        <v>#</v>
      </c>
      <c r="T134" s="82" t="str">
        <f>_xll.BLUEMATRIX2("/servlet/excelData",F134,$B$1,$B134&amp;":"&amp;F$115&amp;":"&amp;$R$114)</f>
        <v>#</v>
      </c>
      <c r="U134" s="82" t="str">
        <f>_xll.BLUEMATRIX2("/servlet/excelData",G134,$B$1,$B134&amp;":"&amp;G$115&amp;":"&amp;$R$114)</f>
        <v>#</v>
      </c>
      <c r="V134" s="82" t="str">
        <f>_xll.BLUEMATRIX2("/servlet/excelData",H134,$B$1,$B134&amp;":"&amp;H$115&amp;":"&amp;$R$114)</f>
        <v>#</v>
      </c>
      <c r="W134" s="82" t="str">
        <f>_xll.BLUEMATRIX2("/servlet/excelData",I134,$B$1,$B134&amp;":"&amp;I$115&amp;":"&amp;$R$114)</f>
        <v>#</v>
      </c>
      <c r="X134" s="82" t="str">
        <f>_xll.BLUEMATRIX2("/servlet/excelData",J134,$B$1,$B134&amp;":"&amp;J$115&amp;":"&amp;$R$114)</f>
        <v>#</v>
      </c>
      <c r="Y134" s="82" t="str">
        <f>_xll.BLUEMATRIX2("/servlet/excelData",K134,$B$1,$B134&amp;":"&amp;K$115&amp;":"&amp;$R$114)</f>
        <v>#</v>
      </c>
      <c r="Z134" s="82" t="str">
        <f>_xll.BLUEMATRIX2("/servlet/excelData",L134,$B$1,$B134&amp;":"&amp;L$115&amp;":"&amp;$R$114)</f>
        <v>#</v>
      </c>
      <c r="AA134" s="82" t="str">
        <f>_xll.BLUEMATRIX2("/servlet/excelData",M134,$B$1,$B134&amp;":"&amp;M$115&amp;":"&amp;$R$114)</f>
        <v>#</v>
      </c>
      <c r="AB134" s="82" t="str">
        <f>_xll.BLUEMATRIX2("/servlet/excelData",N134,$B$1,$B134&amp;":"&amp;N$115&amp;":"&amp;$R$114)</f>
        <v>#</v>
      </c>
      <c r="AC134" s="82" t="str">
        <f>_xll.BLUEMATRIX2("/servlet/excelData",O134,$B$1,$B134&amp;":"&amp;O$115&amp;":"&amp;$R$114)</f>
        <v>#</v>
      </c>
      <c r="AD134" s="82" t="str">
        <f>_xll.BLUEMATRIX2("/servlet/excelData",P134,$B$1,$B134&amp;":"&amp;P$115&amp;":"&amp;$R$114)</f>
        <v>#</v>
      </c>
      <c r="AE134" s="82" t="str">
        <f>_xll.BLUEMATRIX2("/servlet/excelData",Q134,$B$1,$B134&amp;":"&amp;Q$115&amp;":"&amp;$R$114)</f>
        <v>#</v>
      </c>
    </row>
    <row r="135" spans="1:31" ht="12.95" customHeight="1" x14ac:dyDescent="0.2">
      <c r="A135" s="26"/>
      <c r="B135" s="29" t="s">
        <v>620</v>
      </c>
      <c r="C135" s="76" t="s">
        <v>621</v>
      </c>
      <c r="D135" s="77"/>
      <c r="E135" s="77">
        <f t="array" ref="E135">_xlfn.IFS(AND(E129=0,E123=0),0,AND(E129=0,E123&lt;&gt;0),"nm",E129&lt;&gt;0,E123/E129-1)</f>
        <v>0</v>
      </c>
      <c r="F135" s="77">
        <f t="array" ref="F135">_xlfn.IFS(AND(F129=0,F123=0),0,AND(F129=0,F123&lt;&gt;0),"nm",F129&lt;&gt;0,F123/F129-1)</f>
        <v>0</v>
      </c>
      <c r="G135" s="77">
        <f t="array" ref="G135">_xlfn.IFS(AND(G129=0,G123=0),0,AND(G129=0,G123&lt;&gt;0),"nm",G129&lt;&gt;0,G123/G129-1)</f>
        <v>0</v>
      </c>
      <c r="H135" s="77">
        <f t="array" ref="H135">_xlfn.IFS(AND(H129=0,H123=0),0,AND(H129=0,H123&lt;&gt;0),"nm",H129&lt;&gt;0,H123/H129-1)</f>
        <v>0</v>
      </c>
      <c r="I135" s="77">
        <f t="array" ref="I135">_xlfn.IFS(AND(I129=0,I123=0),0,AND(I129=0,I123&lt;&gt;0),"nm",I129&lt;&gt;0,I123/I129-1)</f>
        <v>0</v>
      </c>
      <c r="J135" s="77">
        <f t="array" ref="J135">_xlfn.IFS(AND(J129=0,J123=0),0,AND(J129=0,J123&lt;&gt;0),"nm",J129&lt;&gt;0,J123/J129-1)</f>
        <v>0</v>
      </c>
      <c r="K135" s="77">
        <f t="array" ref="K135">_xlfn.IFS(AND(K129=0,K123=0),0,AND(K129=0,K123&lt;&gt;0),"nm",K129&lt;&gt;0,K123/K129-1)</f>
        <v>0</v>
      </c>
      <c r="L135" s="77">
        <f t="array" ref="L135">_xlfn.IFS(AND(L129=0,L123=0),0,AND(L129=0,L123&lt;&gt;0),"nm",L129&lt;&gt;0,L123/L129-1)</f>
        <v>0</v>
      </c>
      <c r="M135" s="77">
        <f t="array" ref="M135">_xlfn.IFS(AND(M129=0,M123=0),0,AND(M129=0,M123&lt;&gt;0),"nm",M129&lt;&gt;0,M123/M129-1)</f>
        <v>0</v>
      </c>
      <c r="N135" s="77">
        <f t="array" ref="N135">_xlfn.IFS(AND(N129=0,N123=0),0,AND(N129=0,N123&lt;&gt;0),"nm",N129&lt;&gt;0,N123/N129-1)</f>
        <v>0</v>
      </c>
      <c r="O135" s="77">
        <f t="array" ref="O135">_xlfn.IFS(AND(O129=0,O123=0),0,AND(O129=0,O123&lt;&gt;0),"nm",O129&lt;&gt;0,O123/O129-1)</f>
        <v>0</v>
      </c>
      <c r="P135" s="77">
        <f t="array" ref="P135">_xlfn.IFS(AND(P129=0,P123=0),0,AND(P129=0,P123&lt;&gt;0),"nm",P129&lt;&gt;0,P123/P129-1)</f>
        <v>0</v>
      </c>
      <c r="Q135" s="77">
        <f t="array" ref="Q135">_xlfn.IFS(AND(Q129=0,Q123=0),0,AND(Q129=0,Q123&lt;&gt;0),"nm",Q129&lt;&gt;0,Q123/Q129-1)</f>
        <v>0</v>
      </c>
      <c r="R135" s="81" t="str">
        <f>_xll.BLUEMATRIX2("ExcelToolkitService",C135,$B$1,"[DivisionName:26]DIVISION")</f>
        <v>#</v>
      </c>
      <c r="S135" s="82" t="str">
        <f>_xll.BLUEMATRIX2("/servlet/excelData",E135,$B$1,$B135&amp;":"&amp;E$115&amp;":"&amp;$R$114)</f>
        <v>#</v>
      </c>
      <c r="T135" s="82" t="str">
        <f>_xll.BLUEMATRIX2("/servlet/excelData",F135,$B$1,$B135&amp;":"&amp;F$115&amp;":"&amp;$R$114)</f>
        <v>#</v>
      </c>
      <c r="U135" s="82" t="str">
        <f>_xll.BLUEMATRIX2("/servlet/excelData",G135,$B$1,$B135&amp;":"&amp;G$115&amp;":"&amp;$R$114)</f>
        <v>#</v>
      </c>
      <c r="V135" s="82" t="str">
        <f>_xll.BLUEMATRIX2("/servlet/excelData",H135,$B$1,$B135&amp;":"&amp;H$115&amp;":"&amp;$R$114)</f>
        <v>#</v>
      </c>
      <c r="W135" s="82" t="str">
        <f>_xll.BLUEMATRIX2("/servlet/excelData",I135,$B$1,$B135&amp;":"&amp;I$115&amp;":"&amp;$R$114)</f>
        <v>#</v>
      </c>
      <c r="X135" s="82" t="str">
        <f>_xll.BLUEMATRIX2("/servlet/excelData",J135,$B$1,$B135&amp;":"&amp;J$115&amp;":"&amp;$R$114)</f>
        <v>#</v>
      </c>
      <c r="Y135" s="82" t="str">
        <f>_xll.BLUEMATRIX2("/servlet/excelData",K135,$B$1,$B135&amp;":"&amp;K$115&amp;":"&amp;$R$114)</f>
        <v>#</v>
      </c>
      <c r="Z135" s="82" t="str">
        <f>_xll.BLUEMATRIX2("/servlet/excelData",L135,$B$1,$B135&amp;":"&amp;L$115&amp;":"&amp;$R$114)</f>
        <v>#</v>
      </c>
      <c r="AA135" s="82" t="str">
        <f>_xll.BLUEMATRIX2("/servlet/excelData",M135,$B$1,$B135&amp;":"&amp;M$115&amp;":"&amp;$R$114)</f>
        <v>#</v>
      </c>
      <c r="AB135" s="82" t="str">
        <f>_xll.BLUEMATRIX2("/servlet/excelData",N135,$B$1,$B135&amp;":"&amp;N$115&amp;":"&amp;$R$114)</f>
        <v>#</v>
      </c>
      <c r="AC135" s="82" t="str">
        <f>_xll.BLUEMATRIX2("/servlet/excelData",O135,$B$1,$B135&amp;":"&amp;O$115&amp;":"&amp;$R$114)</f>
        <v>#</v>
      </c>
      <c r="AD135" s="82" t="str">
        <f>_xll.BLUEMATRIX2("/servlet/excelData",P135,$B$1,$B135&amp;":"&amp;P$115&amp;":"&amp;$R$114)</f>
        <v>#</v>
      </c>
      <c r="AE135" s="82" t="str">
        <f>_xll.BLUEMATRIX2("/servlet/excelData",Q135,$B$1,$B135&amp;":"&amp;Q$115&amp;":"&amp;$R$114)</f>
        <v>#</v>
      </c>
    </row>
    <row r="136" spans="1:31" ht="12.95" customHeight="1" x14ac:dyDescent="0.2">
      <c r="A136" s="26"/>
      <c r="B136" s="29" t="s">
        <v>622</v>
      </c>
      <c r="C136" s="76" t="s">
        <v>623</v>
      </c>
      <c r="D136" s="77"/>
      <c r="E136" s="77">
        <f t="array" ref="E136">_xlfn.IFS(AND(E130=0,E124=0),0,AND(E130=0,E124&lt;&gt;0),"nm",E130&lt;&gt;0,E124/E130-1)</f>
        <v>0</v>
      </c>
      <c r="F136" s="77" t="e">
        <f t="array" ref="F136">_xlfn.IFS(AND(F130=0,F124=0),0,AND(F130=0,F124&lt;&gt;0),"nm",F130&lt;&gt;0,F124/F130-1)</f>
        <v>#VALUE!</v>
      </c>
      <c r="G136" s="77" t="e">
        <f t="array" ref="G136">_xlfn.IFS(AND(G130=0,G124=0),0,AND(G130=0,G124&lt;&gt;0),"nm",G130&lt;&gt;0,G124/G130-1)</f>
        <v>#VALUE!</v>
      </c>
      <c r="H136" s="77" cm="1">
        <f t="array" ref="H136">_xlfn.IFS(AND(H130=0,H124=0),0,AND(H130=0,H124&lt;&gt;0),"nm",H130&lt;&gt;0,H124/H130-1)</f>
        <v>0</v>
      </c>
      <c r="I136" s="77">
        <f t="array" ref="I136">_xlfn.IFS(AND(I130=0,I124=0),0,AND(I130=0,I124&lt;&gt;0),"nm",I130&lt;&gt;0,I124/I130-1)</f>
        <v>0</v>
      </c>
      <c r="J136" s="77">
        <f t="array" ref="J136">_xlfn.IFS(AND(J130=0,J124=0),0,AND(J130=0,J124&lt;&gt;0),"nm",J130&lt;&gt;0,J124/J130-1)</f>
        <v>0</v>
      </c>
      <c r="K136" s="77">
        <f t="array" ref="K136">_xlfn.IFS(AND(K130=0,K124=0),0,AND(K130=0,K124&lt;&gt;0),"nm",K130&lt;&gt;0,K124/K130-1)</f>
        <v>0</v>
      </c>
      <c r="L136" s="77">
        <f t="array" ref="L136">_xlfn.IFS(AND(L130=0,L124=0),0,AND(L130=0,L124&lt;&gt;0),"nm",L130&lt;&gt;0,L124/L130-1)</f>
        <v>0</v>
      </c>
      <c r="M136" s="77">
        <f t="array" ref="M136">_xlfn.IFS(AND(M130=0,M124=0),0,AND(M130=0,M124&lt;&gt;0),"nm",M130&lt;&gt;0,M124/M130-1)</f>
        <v>0</v>
      </c>
      <c r="N136" s="77">
        <f t="array" ref="N136">_xlfn.IFS(AND(N130=0,N124=0),0,AND(N130=0,N124&lt;&gt;0),"nm",N130&lt;&gt;0,N124/N130-1)</f>
        <v>0</v>
      </c>
      <c r="O136" s="77">
        <f t="array" ref="O136">_xlfn.IFS(AND(O130=0,O124=0),0,AND(O130=0,O124&lt;&gt;0),"nm",O130&lt;&gt;0,O124/O130-1)</f>
        <v>0</v>
      </c>
      <c r="P136" s="77">
        <f t="array" ref="P136">_xlfn.IFS(AND(P130=0,P124=0),0,AND(P130=0,P124&lt;&gt;0),"nm",P130&lt;&gt;0,P124/P130-1)</f>
        <v>0</v>
      </c>
      <c r="Q136" s="77">
        <f t="array" ref="Q136">_xlfn.IFS(AND(Q130=0,Q124=0),0,AND(Q130=0,Q124&lt;&gt;0),"nm",Q130&lt;&gt;0,Q124/Q130-1)</f>
        <v>0</v>
      </c>
      <c r="R136" s="81" t="str">
        <f>_xll.BLUEMATRIX2("ExcelToolkitService",C136,$B$1,"[DivisionName:27]DIVISION")</f>
        <v>#</v>
      </c>
      <c r="S136" s="82" t="str">
        <f>_xll.BLUEMATRIX2("/servlet/excelData",E136,$B$1,$B136&amp;":"&amp;E$115&amp;":"&amp;$R$114)</f>
        <v>#</v>
      </c>
      <c r="T136" s="82" t="e">
        <f>_xll.BLUEMATRIX2("/servlet/excelData",F136,$B$1,$B136&amp;":"&amp;F$115&amp;":"&amp;$R$114)</f>
        <v>#VALUE!</v>
      </c>
      <c r="U136" s="82" t="e">
        <f>_xll.BLUEMATRIX2("/servlet/excelData",G136,$B$1,$B136&amp;":"&amp;G$115&amp;":"&amp;$R$114)</f>
        <v>#VALUE!</v>
      </c>
      <c r="V136" s="82" t="str">
        <f>_xll.BLUEMATRIX2("/servlet/excelData",H136,$B$1,$B136&amp;":"&amp;H$115&amp;":"&amp;$R$114)</f>
        <v>#</v>
      </c>
      <c r="W136" s="82" t="str">
        <f>_xll.BLUEMATRIX2("/servlet/excelData",I136,$B$1,$B136&amp;":"&amp;I$115&amp;":"&amp;$R$114)</f>
        <v>#</v>
      </c>
      <c r="X136" s="82" t="str">
        <f>_xll.BLUEMATRIX2("/servlet/excelData",J136,$B$1,$B136&amp;":"&amp;J$115&amp;":"&amp;$R$114)</f>
        <v>#</v>
      </c>
      <c r="Y136" s="82" t="str">
        <f>_xll.BLUEMATRIX2("/servlet/excelData",K136,$B$1,$B136&amp;":"&amp;K$115&amp;":"&amp;$R$114)</f>
        <v>#</v>
      </c>
      <c r="Z136" s="82" t="str">
        <f>_xll.BLUEMATRIX2("/servlet/excelData",L136,$B$1,$B136&amp;":"&amp;L$115&amp;":"&amp;$R$114)</f>
        <v>#</v>
      </c>
      <c r="AA136" s="82" t="str">
        <f>_xll.BLUEMATRIX2("/servlet/excelData",M136,$B$1,$B136&amp;":"&amp;M$115&amp;":"&amp;$R$114)</f>
        <v>#</v>
      </c>
      <c r="AB136" s="82" t="str">
        <f>_xll.BLUEMATRIX2("/servlet/excelData",N136,$B$1,$B136&amp;":"&amp;N$115&amp;":"&amp;$R$114)</f>
        <v>#</v>
      </c>
      <c r="AC136" s="82" t="str">
        <f>_xll.BLUEMATRIX2("/servlet/excelData",O136,$B$1,$B136&amp;":"&amp;O$115&amp;":"&amp;$R$114)</f>
        <v>#</v>
      </c>
      <c r="AD136" s="82" t="str">
        <f>_xll.BLUEMATRIX2("/servlet/excelData",P136,$B$1,$B136&amp;":"&amp;P$115&amp;":"&amp;$R$114)</f>
        <v>#</v>
      </c>
      <c r="AE136" s="82" t="str">
        <f>_xll.BLUEMATRIX2("/servlet/excelData",Q136,$B$1,$B136&amp;":"&amp;Q$115&amp;":"&amp;$R$114)</f>
        <v>#</v>
      </c>
    </row>
    <row r="137" spans="1:31" ht="12.95" customHeight="1" x14ac:dyDescent="0.2">
      <c r="A137" s="26"/>
      <c r="B137" s="29" t="s">
        <v>624</v>
      </c>
      <c r="C137" s="76" t="s">
        <v>625</v>
      </c>
      <c r="D137" s="77"/>
      <c r="E137" s="77">
        <f t="array" ref="E137">_xlfn.IFS(AND(E131=0,E125=0),0,AND(E131=0,E125&lt;&gt;0),"nm",E131&lt;&gt;0,E125/E131-1)</f>
        <v>0</v>
      </c>
      <c r="F137" s="77">
        <f t="array" ref="F137">_xlfn.IFS(AND(F131=0,F125=0),0,AND(F131=0,F125&lt;&gt;0),"nm",F131&lt;&gt;0,F125/F131-1)</f>
        <v>0</v>
      </c>
      <c r="G137" s="77">
        <f t="array" ref="G137">_xlfn.IFS(AND(G131=0,G125=0),0,AND(G131=0,G125&lt;&gt;0),"nm",G131&lt;&gt;0,G125/G131-1)</f>
        <v>0</v>
      </c>
      <c r="H137" s="77">
        <f t="array" ref="H137">_xlfn.IFS(AND(H131=0,H125=0),0,AND(H131=0,H125&lt;&gt;0),"nm",H131&lt;&gt;0,H125/H131-1)</f>
        <v>0</v>
      </c>
      <c r="I137" s="77">
        <f t="array" ref="I137">_xlfn.IFS(AND(I131=0,I125=0),0,AND(I131=0,I125&lt;&gt;0),"nm",I131&lt;&gt;0,I125/I131-1)</f>
        <v>0</v>
      </c>
      <c r="J137" s="77">
        <f t="array" ref="J137">_xlfn.IFS(AND(J131=0,J125=0),0,AND(J131=0,J125&lt;&gt;0),"nm",J131&lt;&gt;0,J125/J131-1)</f>
        <v>0</v>
      </c>
      <c r="K137" s="77">
        <f t="array" ref="K137">_xlfn.IFS(AND(K131=0,K125=0),0,AND(K131=0,K125&lt;&gt;0),"nm",K131&lt;&gt;0,K125/K131-1)</f>
        <v>0</v>
      </c>
      <c r="L137" s="77">
        <f t="array" ref="L137">_xlfn.IFS(AND(L131=0,L125=0),0,AND(L131=0,L125&lt;&gt;0),"nm",L131&lt;&gt;0,L125/L131-1)</f>
        <v>0</v>
      </c>
      <c r="M137" s="77">
        <f t="array" ref="M137">_xlfn.IFS(AND(M131=0,M125=0),0,AND(M131=0,M125&lt;&gt;0),"nm",M131&lt;&gt;0,M125/M131-1)</f>
        <v>0</v>
      </c>
      <c r="N137" s="77">
        <f t="array" ref="N137">_xlfn.IFS(AND(N131=0,N125=0),0,AND(N131=0,N125&lt;&gt;0),"nm",N131&lt;&gt;0,N125/N131-1)</f>
        <v>0</v>
      </c>
      <c r="O137" s="77">
        <f t="array" ref="O137">_xlfn.IFS(AND(O131=0,O125=0),0,AND(O131=0,O125&lt;&gt;0),"nm",O131&lt;&gt;0,O125/O131-1)</f>
        <v>0</v>
      </c>
      <c r="P137" s="77">
        <f t="array" ref="P137">_xlfn.IFS(AND(P131=0,P125=0),0,AND(P131=0,P125&lt;&gt;0),"nm",P131&lt;&gt;0,P125/P131-1)</f>
        <v>0</v>
      </c>
      <c r="Q137" s="77">
        <f t="array" ref="Q137">_xlfn.IFS(AND(Q131=0,Q125=0),0,AND(Q131=0,Q125&lt;&gt;0),"nm",Q131&lt;&gt;0,Q125/Q131-1)</f>
        <v>0</v>
      </c>
      <c r="R137" s="81" t="str">
        <f>_xll.BLUEMATRIX2("ExcelToolkitService",C137,$B$1,"[DivisionName:28]DIVISION")</f>
        <v>#</v>
      </c>
      <c r="S137" s="82" t="str">
        <f>_xll.BLUEMATRIX2("/servlet/excelData",E137,$B$1,$B137&amp;":"&amp;E$115&amp;":"&amp;$R$114)</f>
        <v>#</v>
      </c>
      <c r="T137" s="82" t="str">
        <f>_xll.BLUEMATRIX2("/servlet/excelData",F137,$B$1,$B137&amp;":"&amp;F$115&amp;":"&amp;$R$114)</f>
        <v>#</v>
      </c>
      <c r="U137" s="82" t="str">
        <f>_xll.BLUEMATRIX2("/servlet/excelData",G137,$B$1,$B137&amp;":"&amp;G$115&amp;":"&amp;$R$114)</f>
        <v>#</v>
      </c>
      <c r="V137" s="82" t="str">
        <f>_xll.BLUEMATRIX2("/servlet/excelData",H137,$B$1,$B137&amp;":"&amp;H$115&amp;":"&amp;$R$114)</f>
        <v>#</v>
      </c>
      <c r="W137" s="82" t="str">
        <f>_xll.BLUEMATRIX2("/servlet/excelData",I137,$B$1,$B137&amp;":"&amp;I$115&amp;":"&amp;$R$114)</f>
        <v>#</v>
      </c>
      <c r="X137" s="82" t="str">
        <f>_xll.BLUEMATRIX2("/servlet/excelData",J137,$B$1,$B137&amp;":"&amp;J$115&amp;":"&amp;$R$114)</f>
        <v>#</v>
      </c>
      <c r="Y137" s="82" t="str">
        <f>_xll.BLUEMATRIX2("/servlet/excelData",K137,$B$1,$B137&amp;":"&amp;K$115&amp;":"&amp;$R$114)</f>
        <v>#</v>
      </c>
      <c r="Z137" s="82" t="str">
        <f>_xll.BLUEMATRIX2("/servlet/excelData",L137,$B$1,$B137&amp;":"&amp;L$115&amp;":"&amp;$R$114)</f>
        <v>#</v>
      </c>
      <c r="AA137" s="82" t="str">
        <f>_xll.BLUEMATRIX2("/servlet/excelData",M137,$B$1,$B137&amp;":"&amp;M$115&amp;":"&amp;$R$114)</f>
        <v>#</v>
      </c>
      <c r="AB137" s="82" t="str">
        <f>_xll.BLUEMATRIX2("/servlet/excelData",N137,$B$1,$B137&amp;":"&amp;N$115&amp;":"&amp;$R$114)</f>
        <v>#</v>
      </c>
      <c r="AC137" s="82" t="str">
        <f>_xll.BLUEMATRIX2("/servlet/excelData",O137,$B$1,$B137&amp;":"&amp;O$115&amp;":"&amp;$R$114)</f>
        <v>#</v>
      </c>
      <c r="AD137" s="82" t="str">
        <f>_xll.BLUEMATRIX2("/servlet/excelData",P137,$B$1,$B137&amp;":"&amp;P$115&amp;":"&amp;$R$114)</f>
        <v>#</v>
      </c>
      <c r="AE137" s="82" t="str">
        <f>_xll.BLUEMATRIX2("/servlet/excelData",Q137,$B$1,$B137&amp;":"&amp;Q$115&amp;":"&amp;$R$114)</f>
        <v>#</v>
      </c>
    </row>
    <row r="138" spans="1:31" ht="12.95" customHeight="1" x14ac:dyDescent="0.2">
      <c r="A138" s="26"/>
      <c r="B138" s="29"/>
      <c r="C138" s="76"/>
      <c r="D138" s="92"/>
      <c r="E138" s="92"/>
      <c r="F138" s="92"/>
      <c r="G138" s="92"/>
      <c r="H138" s="92"/>
      <c r="I138" s="92"/>
      <c r="J138" s="92"/>
      <c r="K138" s="92"/>
      <c r="L138" s="92"/>
      <c r="M138" s="92"/>
      <c r="N138" s="92"/>
      <c r="O138" s="92"/>
      <c r="P138" s="92"/>
      <c r="Q138" s="92"/>
      <c r="R138" s="1"/>
      <c r="S138" s="33"/>
      <c r="T138" s="33"/>
      <c r="U138" s="33"/>
      <c r="V138" s="33"/>
      <c r="W138" s="33"/>
      <c r="X138" s="33"/>
      <c r="Y138" s="33"/>
      <c r="Z138" s="33"/>
      <c r="AA138" s="33"/>
      <c r="AB138" s="33"/>
      <c r="AC138" s="33"/>
      <c r="AD138" s="33"/>
      <c r="AE138" s="33"/>
    </row>
    <row r="139" spans="1:31" ht="15" customHeight="1" x14ac:dyDescent="0.2">
      <c r="A139" s="106"/>
      <c r="B139" s="106"/>
      <c r="C139" s="107" t="s">
        <v>626</v>
      </c>
      <c r="D139" s="108"/>
      <c r="E139" s="108"/>
      <c r="F139" s="108"/>
      <c r="G139" s="108"/>
      <c r="H139" s="108"/>
      <c r="I139" s="108"/>
      <c r="J139" s="108"/>
      <c r="K139" s="108"/>
      <c r="L139" s="108"/>
      <c r="M139" s="108"/>
      <c r="N139" s="108"/>
      <c r="O139" s="108"/>
      <c r="P139" s="108"/>
      <c r="Q139" s="108"/>
      <c r="R139" s="64"/>
    </row>
    <row r="140" spans="1:31" ht="12.95" customHeight="1" x14ac:dyDescent="0.2">
      <c r="A140" s="109" t="s">
        <v>627</v>
      </c>
      <c r="B140" s="29" t="s">
        <v>628</v>
      </c>
      <c r="C140" s="110" t="s">
        <v>629</v>
      </c>
      <c r="D140" s="111"/>
      <c r="E140" s="483"/>
      <c r="F140" s="483">
        <f>FY!F68</f>
        <v>0</v>
      </c>
      <c r="G140" s="483">
        <f>FY!G68</f>
        <v>0</v>
      </c>
      <c r="H140" s="483">
        <f>FY!H68</f>
        <v>134.6</v>
      </c>
      <c r="I140" s="483">
        <f>FY!I68</f>
        <v>145.4</v>
      </c>
      <c r="J140" s="483">
        <f>FY!J68</f>
        <v>166.66483272727277</v>
      </c>
      <c r="K140" s="483">
        <f>FY!K68</f>
        <v>174.99807436363636</v>
      </c>
      <c r="L140" s="483">
        <f>FY!L68</f>
        <v>183.74797808181819</v>
      </c>
      <c r="M140" s="483">
        <f>FY!M68</f>
        <v>192.93537698590916</v>
      </c>
      <c r="N140" s="483">
        <f>FY!N68</f>
        <v>202.58214583520459</v>
      </c>
      <c r="O140" s="483">
        <f>FY!O68</f>
        <v>212.71125312696486</v>
      </c>
      <c r="P140" s="483">
        <f>FY!P68</f>
        <v>223.34681578331308</v>
      </c>
      <c r="Q140" s="483">
        <f>FY!Q68</f>
        <v>234.51415657247873</v>
      </c>
      <c r="R140" s="112"/>
      <c r="S140" s="82" t="str">
        <f>_xll.BLUEMATRIX2("/servlet/excelData",E140,$B$1,$B140&amp;":"&amp;E$115&amp;":"&amp;$R$114)</f>
        <v>#</v>
      </c>
      <c r="T140" s="82" t="str">
        <f>_xll.BLUEMATRIX2("/servlet/excelData",F140,$B$1,$B140&amp;":"&amp;F$115&amp;":"&amp;$R$114)</f>
        <v>#</v>
      </c>
      <c r="U140" s="82" t="str">
        <f>_xll.BLUEMATRIX2("/servlet/excelData",G140,$B$1,$B140&amp;":"&amp;G$115&amp;":"&amp;$R$114)</f>
        <v>#</v>
      </c>
      <c r="V140" s="82" t="str">
        <f>_xll.BLUEMATRIX2("/servlet/excelData",H140,$B$1,$B140&amp;":"&amp;H$115&amp;":"&amp;$R$114)</f>
        <v>#</v>
      </c>
      <c r="W140" s="82" t="str">
        <f>_xll.BLUEMATRIX2("/servlet/excelData",I140,$B$1,$B140&amp;":"&amp;I$115&amp;":"&amp;$R$114)</f>
        <v>#</v>
      </c>
      <c r="X140" s="82" t="str">
        <f>_xll.BLUEMATRIX2("/servlet/excelData",J140,$B$1,$B140&amp;":"&amp;J$115&amp;":"&amp;$R$114)</f>
        <v>#</v>
      </c>
      <c r="Y140" s="82" t="str">
        <f>_xll.BLUEMATRIX2("/servlet/excelData",K140,$B$1,$B140&amp;":"&amp;K$115&amp;":"&amp;$R$114)</f>
        <v>#</v>
      </c>
      <c r="Z140" s="82" t="str">
        <f>_xll.BLUEMATRIX2("/servlet/excelData",L140,$B$1,$B140&amp;":"&amp;L$115&amp;":"&amp;$R$114)</f>
        <v>#</v>
      </c>
      <c r="AA140" s="82" t="str">
        <f>_xll.BLUEMATRIX2("/servlet/excelData",M140,$B$1,$B140&amp;":"&amp;M$115&amp;":"&amp;$R$114)</f>
        <v>#</v>
      </c>
      <c r="AB140" s="82" t="str">
        <f>_xll.BLUEMATRIX2("/servlet/excelData",N140,$B$1,$B140&amp;":"&amp;N$115&amp;":"&amp;$R$114)</f>
        <v>#</v>
      </c>
      <c r="AC140" s="82" t="str">
        <f>_xll.BLUEMATRIX2("/servlet/excelData",O140,$B$1,$B140&amp;":"&amp;O$115&amp;":"&amp;$R$114)</f>
        <v>#</v>
      </c>
      <c r="AD140" s="82" t="str">
        <f>_xll.BLUEMATRIX2("/servlet/excelData",P140,$B$1,$B140&amp;":"&amp;P$115&amp;":"&amp;$R$114)</f>
        <v>#</v>
      </c>
      <c r="AE140" s="82" t="str">
        <f>_xll.BLUEMATRIX2("/servlet/excelData",Q140,$B$1,$B140&amp;":"&amp;Q$115&amp;":"&amp;$R$114)</f>
        <v>#</v>
      </c>
    </row>
    <row r="141" spans="1:31" ht="12.95" customHeight="1" x14ac:dyDescent="0.2">
      <c r="A141" s="109" t="s">
        <v>630</v>
      </c>
      <c r="B141" s="29" t="s">
        <v>631</v>
      </c>
      <c r="C141" s="110" t="s">
        <v>632</v>
      </c>
      <c r="D141" s="111"/>
      <c r="E141" s="111"/>
      <c r="F141" s="111">
        <f>FY!F72</f>
        <v>0</v>
      </c>
      <c r="G141" s="111">
        <f>FY!G72</f>
        <v>0</v>
      </c>
      <c r="H141" s="111"/>
      <c r="I141" s="111"/>
      <c r="J141" s="111"/>
      <c r="K141" s="111"/>
      <c r="L141" s="111"/>
      <c r="M141" s="111"/>
      <c r="N141" s="111"/>
      <c r="O141" s="111"/>
      <c r="P141" s="111"/>
      <c r="Q141" s="111"/>
      <c r="R141" s="112"/>
      <c r="S141" s="82" t="str">
        <f>_xll.BLUEMATRIX2("/servlet/excelData",E141,$B$1,$B141&amp;":"&amp;E$115&amp;":"&amp;$R$114)</f>
        <v>#</v>
      </c>
      <c r="T141" s="82" t="str">
        <f>_xll.BLUEMATRIX2("/servlet/excelData",F141,$B$1,$B141&amp;":"&amp;F$115&amp;":"&amp;$R$114)</f>
        <v>#</v>
      </c>
      <c r="U141" s="82" t="str">
        <f>_xll.BLUEMATRIX2("/servlet/excelData",G141,$B$1,$B141&amp;":"&amp;G$115&amp;":"&amp;$R$114)</f>
        <v>#</v>
      </c>
      <c r="V141" s="82" t="str">
        <f>_xll.BLUEMATRIX2("/servlet/excelData",H141,$B$1,$B141&amp;":"&amp;H$115&amp;":"&amp;$R$114)</f>
        <v>#</v>
      </c>
      <c r="W141" s="82" t="str">
        <f>_xll.BLUEMATRIX2("/servlet/excelData",I141,$B$1,$B141&amp;":"&amp;I$115&amp;":"&amp;$R$114)</f>
        <v>#</v>
      </c>
      <c r="X141" s="82" t="str">
        <f>_xll.BLUEMATRIX2("/servlet/excelData",J141,$B$1,$B141&amp;":"&amp;J$115&amp;":"&amp;$R$114)</f>
        <v>#</v>
      </c>
      <c r="Y141" s="82" t="str">
        <f>_xll.BLUEMATRIX2("/servlet/excelData",K141,$B$1,$B141&amp;":"&amp;K$115&amp;":"&amp;$R$114)</f>
        <v>#</v>
      </c>
      <c r="Z141" s="82" t="str">
        <f>_xll.BLUEMATRIX2("/servlet/excelData",L141,$B$1,$B141&amp;":"&amp;L$115&amp;":"&amp;$R$114)</f>
        <v>#</v>
      </c>
      <c r="AA141" s="82" t="str">
        <f>_xll.BLUEMATRIX2("/servlet/excelData",M141,$B$1,$B141&amp;":"&amp;M$115&amp;":"&amp;$R$114)</f>
        <v>#</v>
      </c>
      <c r="AB141" s="82" t="str">
        <f>_xll.BLUEMATRIX2("/servlet/excelData",N141,$B$1,$B141&amp;":"&amp;N$115&amp;":"&amp;$R$114)</f>
        <v>#</v>
      </c>
      <c r="AC141" s="82" t="str">
        <f>_xll.BLUEMATRIX2("/servlet/excelData",O141,$B$1,$B141&amp;":"&amp;O$115&amp;":"&amp;$R$114)</f>
        <v>#</v>
      </c>
      <c r="AD141" s="82" t="str">
        <f>_xll.BLUEMATRIX2("/servlet/excelData",P141,$B$1,$B141&amp;":"&amp;P$115&amp;":"&amp;$R$114)</f>
        <v>#</v>
      </c>
      <c r="AE141" s="82" t="str">
        <f>_xll.BLUEMATRIX2("/servlet/excelData",Q141,$B$1,$B141&amp;":"&amp;Q$115&amp;":"&amp;$R$114)</f>
        <v>#</v>
      </c>
    </row>
    <row r="142" spans="1:31" ht="12.95" customHeight="1" x14ac:dyDescent="0.2">
      <c r="A142" s="109" t="s">
        <v>633</v>
      </c>
      <c r="B142" s="29" t="s">
        <v>634</v>
      </c>
      <c r="C142" s="113" t="s">
        <v>635</v>
      </c>
      <c r="D142" s="114"/>
      <c r="E142" s="114"/>
      <c r="F142" s="114">
        <f t="shared" ref="F142:Q142" si="8">SUM(F140:F141)</f>
        <v>0</v>
      </c>
      <c r="G142" s="114">
        <f t="shared" si="8"/>
        <v>0</v>
      </c>
      <c r="H142" s="114">
        <f t="shared" si="8"/>
        <v>134.6</v>
      </c>
      <c r="I142" s="114">
        <f t="shared" si="8"/>
        <v>145.4</v>
      </c>
      <c r="J142" s="114">
        <f t="shared" si="8"/>
        <v>166.66483272727277</v>
      </c>
      <c r="K142" s="114">
        <f t="shared" si="8"/>
        <v>174.99807436363636</v>
      </c>
      <c r="L142" s="114">
        <f t="shared" si="8"/>
        <v>183.74797808181819</v>
      </c>
      <c r="M142" s="114">
        <f t="shared" si="8"/>
        <v>192.93537698590916</v>
      </c>
      <c r="N142" s="114">
        <f t="shared" si="8"/>
        <v>202.58214583520459</v>
      </c>
      <c r="O142" s="114">
        <f t="shared" si="8"/>
        <v>212.71125312696486</v>
      </c>
      <c r="P142" s="114">
        <f t="shared" si="8"/>
        <v>223.34681578331308</v>
      </c>
      <c r="Q142" s="114">
        <f t="shared" si="8"/>
        <v>234.51415657247873</v>
      </c>
      <c r="R142" s="112"/>
      <c r="S142" s="82" t="str">
        <f>_xll.BLUEMATRIX2("/servlet/excelData",E142,$B$1,$B142&amp;":"&amp;E$115&amp;":"&amp;$R$114)</f>
        <v>#</v>
      </c>
      <c r="T142" s="82" t="str">
        <f>_xll.BLUEMATRIX2("/servlet/excelData",F142,$B$1,$B142&amp;":"&amp;F$115&amp;":"&amp;$R$114)</f>
        <v>#</v>
      </c>
      <c r="U142" s="82" t="str">
        <f>_xll.BLUEMATRIX2("/servlet/excelData",G142,$B$1,$B142&amp;":"&amp;G$115&amp;":"&amp;$R$114)</f>
        <v>#</v>
      </c>
      <c r="V142" s="82" t="str">
        <f>_xll.BLUEMATRIX2("/servlet/excelData",H142,$B$1,$B142&amp;":"&amp;H$115&amp;":"&amp;$R$114)</f>
        <v>#</v>
      </c>
      <c r="W142" s="82" t="str">
        <f>_xll.BLUEMATRIX2("/servlet/excelData",I142,$B$1,$B142&amp;":"&amp;I$115&amp;":"&amp;$R$114)</f>
        <v>#</v>
      </c>
      <c r="X142" s="82" t="str">
        <f>_xll.BLUEMATRIX2("/servlet/excelData",J142,$B$1,$B142&amp;":"&amp;J$115&amp;":"&amp;$R$114)</f>
        <v>#</v>
      </c>
      <c r="Y142" s="82" t="str">
        <f>_xll.BLUEMATRIX2("/servlet/excelData",K142,$B$1,$B142&amp;":"&amp;K$115&amp;":"&amp;$R$114)</f>
        <v>#</v>
      </c>
      <c r="Z142" s="82" t="str">
        <f>_xll.BLUEMATRIX2("/servlet/excelData",L142,$B$1,$B142&amp;":"&amp;L$115&amp;":"&amp;$R$114)</f>
        <v>#</v>
      </c>
      <c r="AA142" s="82" t="str">
        <f>_xll.BLUEMATRIX2("/servlet/excelData",M142,$B$1,$B142&amp;":"&amp;M$115&amp;":"&amp;$R$114)</f>
        <v>#</v>
      </c>
      <c r="AB142" s="82" t="str">
        <f>_xll.BLUEMATRIX2("/servlet/excelData",N142,$B$1,$B142&amp;":"&amp;N$115&amp;":"&amp;$R$114)</f>
        <v>#</v>
      </c>
      <c r="AC142" s="82" t="str">
        <f>_xll.BLUEMATRIX2("/servlet/excelData",O142,$B$1,$B142&amp;":"&amp;O$115&amp;":"&amp;$R$114)</f>
        <v>#</v>
      </c>
      <c r="AD142" s="82" t="str">
        <f>_xll.BLUEMATRIX2("/servlet/excelData",P142,$B$1,$B142&amp;":"&amp;P$115&amp;":"&amp;$R$114)</f>
        <v>#</v>
      </c>
      <c r="AE142" s="82" t="str">
        <f>_xll.BLUEMATRIX2("/servlet/excelData",Q142,$B$1,$B142&amp;":"&amp;Q$115&amp;":"&amp;$R$114)</f>
        <v>#</v>
      </c>
    </row>
    <row r="143" spans="1:31" ht="12.95" customHeight="1" x14ac:dyDescent="0.2">
      <c r="A143" s="109" t="s">
        <v>636</v>
      </c>
      <c r="B143" s="29" t="s">
        <v>637</v>
      </c>
      <c r="C143" s="110" t="s">
        <v>638</v>
      </c>
      <c r="D143" s="111"/>
      <c r="E143" s="111"/>
      <c r="F143" s="111">
        <f>FY!F69</f>
        <v>0</v>
      </c>
      <c r="G143" s="111">
        <f>FY!G69</f>
        <v>0</v>
      </c>
      <c r="H143" s="111">
        <f>FY!H69</f>
        <v>-73.400000000000006</v>
      </c>
      <c r="I143" s="111">
        <f>FY!I69</f>
        <v>-84.9</v>
      </c>
      <c r="J143" s="111">
        <f>FY!J69</f>
        <v>-95.846727320000014</v>
      </c>
      <c r="K143" s="111">
        <f>FY!K69</f>
        <v>-99.384334236000001</v>
      </c>
      <c r="L143" s="111">
        <f>FY!L69</f>
        <v>-104.34155094780002</v>
      </c>
      <c r="M143" s="111">
        <f>FY!M69</f>
        <v>-109.54626849519002</v>
      </c>
      <c r="N143" s="111">
        <f>FY!N69</f>
        <v>-115.01085111994954</v>
      </c>
      <c r="O143" s="111">
        <f>FY!O69</f>
        <v>-120.74828095194702</v>
      </c>
      <c r="P143" s="111">
        <f>FY!P69</f>
        <v>-126.77218889382436</v>
      </c>
      <c r="Q143" s="111">
        <f>FY!Q69</f>
        <v>-133.096887049624</v>
      </c>
      <c r="R143" s="1"/>
      <c r="S143" s="82" t="str">
        <f>_xll.BLUEMATRIX2("/servlet/excelData",E143,$B$1,$B143&amp;":"&amp;E$115&amp;":"&amp;$R$114)</f>
        <v>#</v>
      </c>
      <c r="T143" s="82" t="str">
        <f>_xll.BLUEMATRIX2("/servlet/excelData",F143,$B$1,$B143&amp;":"&amp;F$115&amp;":"&amp;$R$114)</f>
        <v>#</v>
      </c>
      <c r="U143" s="82" t="str">
        <f>_xll.BLUEMATRIX2("/servlet/excelData",G143,$B$1,$B143&amp;":"&amp;G$115&amp;":"&amp;$R$114)</f>
        <v>#</v>
      </c>
      <c r="V143" s="82" t="str">
        <f>_xll.BLUEMATRIX2("/servlet/excelData",H143,$B$1,$B143&amp;":"&amp;H$115&amp;":"&amp;$R$114)</f>
        <v>#</v>
      </c>
      <c r="W143" s="82" t="str">
        <f>_xll.BLUEMATRIX2("/servlet/excelData",I143,$B$1,$B143&amp;":"&amp;I$115&amp;":"&amp;$R$114)</f>
        <v>#</v>
      </c>
      <c r="X143" s="82" t="str">
        <f>_xll.BLUEMATRIX2("/servlet/excelData",J143,$B$1,$B143&amp;":"&amp;J$115&amp;":"&amp;$R$114)</f>
        <v>#</v>
      </c>
      <c r="Y143" s="82" t="str">
        <f>_xll.BLUEMATRIX2("/servlet/excelData",K143,$B$1,$B143&amp;":"&amp;K$115&amp;":"&amp;$R$114)</f>
        <v>#</v>
      </c>
      <c r="Z143" s="82" t="str">
        <f>_xll.BLUEMATRIX2("/servlet/excelData",L143,$B$1,$B143&amp;":"&amp;L$115&amp;":"&amp;$R$114)</f>
        <v>#</v>
      </c>
      <c r="AA143" s="82" t="str">
        <f>_xll.BLUEMATRIX2("/servlet/excelData",M143,$B$1,$B143&amp;":"&amp;M$115&amp;":"&amp;$R$114)</f>
        <v>#</v>
      </c>
      <c r="AB143" s="82" t="str">
        <f>_xll.BLUEMATRIX2("/servlet/excelData",N143,$B$1,$B143&amp;":"&amp;N$115&amp;":"&amp;$R$114)</f>
        <v>#</v>
      </c>
      <c r="AC143" s="82" t="str">
        <f>_xll.BLUEMATRIX2("/servlet/excelData",O143,$B$1,$B143&amp;":"&amp;O$115&amp;":"&amp;$R$114)</f>
        <v>#</v>
      </c>
      <c r="AD143" s="82" t="str">
        <f>_xll.BLUEMATRIX2("/servlet/excelData",P143,$B$1,$B143&amp;":"&amp;P$115&amp;":"&amp;$R$114)</f>
        <v>#</v>
      </c>
      <c r="AE143" s="82" t="str">
        <f>_xll.BLUEMATRIX2("/servlet/excelData",Q143,$B$1,$B143&amp;":"&amp;Q$115&amp;":"&amp;$R$114)</f>
        <v>#</v>
      </c>
    </row>
    <row r="144" spans="1:31" ht="12.95" customHeight="1" x14ac:dyDescent="0.2">
      <c r="A144" s="115" t="s">
        <v>639</v>
      </c>
      <c r="B144" s="29" t="s">
        <v>640</v>
      </c>
      <c r="C144" s="110" t="s">
        <v>641</v>
      </c>
      <c r="D144" s="111"/>
      <c r="E144" s="111"/>
      <c r="F144" s="111"/>
      <c r="G144" s="111"/>
      <c r="H144" s="111"/>
      <c r="I144" s="111"/>
      <c r="J144" s="111"/>
      <c r="K144" s="111"/>
      <c r="L144" s="111"/>
      <c r="M144" s="111"/>
      <c r="N144" s="111"/>
      <c r="O144" s="111"/>
      <c r="P144" s="111"/>
      <c r="Q144" s="111"/>
      <c r="R144" s="1"/>
      <c r="S144" s="82" t="str">
        <f>_xll.BLUEMATRIX2("/servlet/excelData",E144,$B$1,$B144&amp;":"&amp;E$115&amp;":"&amp;$R$114)</f>
        <v>#</v>
      </c>
      <c r="T144" s="82" t="str">
        <f>_xll.BLUEMATRIX2("/servlet/excelData",F144,$B$1,$B144&amp;":"&amp;F$115&amp;":"&amp;$R$114)</f>
        <v>#</v>
      </c>
      <c r="U144" s="82" t="str">
        <f>_xll.BLUEMATRIX2("/servlet/excelData",G144,$B$1,$B144&amp;":"&amp;G$115&amp;":"&amp;$R$114)</f>
        <v>#</v>
      </c>
      <c r="V144" s="82" t="str">
        <f>_xll.BLUEMATRIX2("/servlet/excelData",H144,$B$1,$B144&amp;":"&amp;H$115&amp;":"&amp;$R$114)</f>
        <v>#</v>
      </c>
      <c r="W144" s="82" t="str">
        <f>_xll.BLUEMATRIX2("/servlet/excelData",I144,$B$1,$B144&amp;":"&amp;I$115&amp;":"&amp;$R$114)</f>
        <v>#</v>
      </c>
      <c r="X144" s="82" t="str">
        <f>_xll.BLUEMATRIX2("/servlet/excelData",J144,$B$1,$B144&amp;":"&amp;J$115&amp;":"&amp;$R$114)</f>
        <v>#</v>
      </c>
      <c r="Y144" s="82" t="str">
        <f>_xll.BLUEMATRIX2("/servlet/excelData",K144,$B$1,$B144&amp;":"&amp;K$115&amp;":"&amp;$R$114)</f>
        <v>#</v>
      </c>
      <c r="Z144" s="82" t="str">
        <f>_xll.BLUEMATRIX2("/servlet/excelData",L144,$B$1,$B144&amp;":"&amp;L$115&amp;":"&amp;$R$114)</f>
        <v>#</v>
      </c>
      <c r="AA144" s="82" t="str">
        <f>_xll.BLUEMATRIX2("/servlet/excelData",M144,$B$1,$B144&amp;":"&amp;M$115&amp;":"&amp;$R$114)</f>
        <v>#</v>
      </c>
      <c r="AB144" s="82" t="str">
        <f>_xll.BLUEMATRIX2("/servlet/excelData",N144,$B$1,$B144&amp;":"&amp;N$115&amp;":"&amp;$R$114)</f>
        <v>#</v>
      </c>
      <c r="AC144" s="82" t="str">
        <f>_xll.BLUEMATRIX2("/servlet/excelData",O144,$B$1,$B144&amp;":"&amp;O$115&amp;":"&amp;$R$114)</f>
        <v>#</v>
      </c>
      <c r="AD144" s="82" t="str">
        <f>_xll.BLUEMATRIX2("/servlet/excelData",P144,$B$1,$B144&amp;":"&amp;P$115&amp;":"&amp;$R$114)</f>
        <v>#</v>
      </c>
      <c r="AE144" s="82" t="str">
        <f>_xll.BLUEMATRIX2("/servlet/excelData",Q144,$B$1,$B144&amp;":"&amp;Q$115&amp;":"&amp;$R$114)</f>
        <v>#</v>
      </c>
    </row>
    <row r="145" spans="1:31" ht="12.95" customHeight="1" x14ac:dyDescent="0.2">
      <c r="A145" s="115" t="s">
        <v>642</v>
      </c>
      <c r="B145" s="29" t="s">
        <v>643</v>
      </c>
      <c r="C145" s="110" t="s">
        <v>644</v>
      </c>
      <c r="D145" s="111"/>
      <c r="E145" s="111"/>
      <c r="F145" s="111"/>
      <c r="G145" s="111"/>
      <c r="H145" s="111"/>
      <c r="I145" s="111"/>
      <c r="J145" s="111"/>
      <c r="K145" s="111"/>
      <c r="L145" s="111"/>
      <c r="M145" s="111"/>
      <c r="N145" s="111"/>
      <c r="O145" s="111"/>
      <c r="P145" s="111"/>
      <c r="Q145" s="111"/>
      <c r="R145" s="1"/>
      <c r="S145" s="82" t="str">
        <f>_xll.BLUEMATRIX2("/servlet/excelData",E145,$B$1,$B145&amp;":"&amp;E$115&amp;":"&amp;$R$114)</f>
        <v>#</v>
      </c>
      <c r="T145" s="82" t="str">
        <f>_xll.BLUEMATRIX2("/servlet/excelData",F145,$B$1,$B145&amp;":"&amp;F$115&amp;":"&amp;$R$114)</f>
        <v>#</v>
      </c>
      <c r="U145" s="82" t="str">
        <f>_xll.BLUEMATRIX2("/servlet/excelData",G145,$B$1,$B145&amp;":"&amp;G$115&amp;":"&amp;$R$114)</f>
        <v>#</v>
      </c>
      <c r="V145" s="82" t="str">
        <f>_xll.BLUEMATRIX2("/servlet/excelData",H145,$B$1,$B145&amp;":"&amp;H$115&amp;":"&amp;$R$114)</f>
        <v>#</v>
      </c>
      <c r="W145" s="82" t="str">
        <f>_xll.BLUEMATRIX2("/servlet/excelData",I145,$B$1,$B145&amp;":"&amp;I$115&amp;":"&amp;$R$114)</f>
        <v>#</v>
      </c>
      <c r="X145" s="82" t="str">
        <f>_xll.BLUEMATRIX2("/servlet/excelData",J145,$B$1,$B145&amp;":"&amp;J$115&amp;":"&amp;$R$114)</f>
        <v>#</v>
      </c>
      <c r="Y145" s="82" t="str">
        <f>_xll.BLUEMATRIX2("/servlet/excelData",K145,$B$1,$B145&amp;":"&amp;K$115&amp;":"&amp;$R$114)</f>
        <v>#</v>
      </c>
      <c r="Z145" s="82" t="str">
        <f>_xll.BLUEMATRIX2("/servlet/excelData",L145,$B$1,$B145&amp;":"&amp;L$115&amp;":"&amp;$R$114)</f>
        <v>#</v>
      </c>
      <c r="AA145" s="82" t="str">
        <f>_xll.BLUEMATRIX2("/servlet/excelData",M145,$B$1,$B145&amp;":"&amp;M$115&amp;":"&amp;$R$114)</f>
        <v>#</v>
      </c>
      <c r="AB145" s="82" t="str">
        <f>_xll.BLUEMATRIX2("/servlet/excelData",N145,$B$1,$B145&amp;":"&amp;N$115&amp;":"&amp;$R$114)</f>
        <v>#</v>
      </c>
      <c r="AC145" s="82" t="str">
        <f>_xll.BLUEMATRIX2("/servlet/excelData",O145,$B$1,$B145&amp;":"&amp;O$115&amp;":"&amp;$R$114)</f>
        <v>#</v>
      </c>
      <c r="AD145" s="82" t="str">
        <f>_xll.BLUEMATRIX2("/servlet/excelData",P145,$B$1,$B145&amp;":"&amp;P$115&amp;":"&amp;$R$114)</f>
        <v>#</v>
      </c>
      <c r="AE145" s="82" t="str">
        <f>_xll.BLUEMATRIX2("/servlet/excelData",Q145,$B$1,$B145&amp;":"&amp;Q$115&amp;":"&amp;$R$114)</f>
        <v>#</v>
      </c>
    </row>
    <row r="146" spans="1:31" ht="12.95" customHeight="1" x14ac:dyDescent="0.2">
      <c r="A146" s="115" t="s">
        <v>645</v>
      </c>
      <c r="B146" s="29" t="s">
        <v>646</v>
      </c>
      <c r="C146" s="110" t="s">
        <v>647</v>
      </c>
      <c r="D146" s="111"/>
      <c r="E146" s="111"/>
      <c r="F146" s="111"/>
      <c r="G146" s="111"/>
      <c r="H146" s="111"/>
      <c r="I146" s="111"/>
      <c r="J146" s="111"/>
      <c r="K146" s="111"/>
      <c r="L146" s="111"/>
      <c r="M146" s="111"/>
      <c r="N146" s="111"/>
      <c r="O146" s="111"/>
      <c r="P146" s="111"/>
      <c r="Q146" s="111"/>
      <c r="R146" s="1"/>
      <c r="S146" s="82" t="str">
        <f>_xll.BLUEMATRIX2("/servlet/excelData",E146,$B$1,$B146&amp;":"&amp;E$115&amp;":"&amp;$R$114)</f>
        <v>#</v>
      </c>
      <c r="T146" s="82" t="str">
        <f>_xll.BLUEMATRIX2("/servlet/excelData",F146,$B$1,$B146&amp;":"&amp;F$115&amp;":"&amp;$R$114)</f>
        <v>#</v>
      </c>
      <c r="U146" s="82" t="str">
        <f>_xll.BLUEMATRIX2("/servlet/excelData",G146,$B$1,$B146&amp;":"&amp;G$115&amp;":"&amp;$R$114)</f>
        <v>#</v>
      </c>
      <c r="V146" s="82" t="str">
        <f>_xll.BLUEMATRIX2("/servlet/excelData",H146,$B$1,$B146&amp;":"&amp;H$115&amp;":"&amp;$R$114)</f>
        <v>#</v>
      </c>
      <c r="W146" s="82" t="str">
        <f>_xll.BLUEMATRIX2("/servlet/excelData",I146,$B$1,$B146&amp;":"&amp;I$115&amp;":"&amp;$R$114)</f>
        <v>#</v>
      </c>
      <c r="X146" s="82" t="str">
        <f>_xll.BLUEMATRIX2("/servlet/excelData",J146,$B$1,$B146&amp;":"&amp;J$115&amp;":"&amp;$R$114)</f>
        <v>#</v>
      </c>
      <c r="Y146" s="82" t="str">
        <f>_xll.BLUEMATRIX2("/servlet/excelData",K146,$B$1,$B146&amp;":"&amp;K$115&amp;":"&amp;$R$114)</f>
        <v>#</v>
      </c>
      <c r="Z146" s="82" t="str">
        <f>_xll.BLUEMATRIX2("/servlet/excelData",L146,$B$1,$B146&amp;":"&amp;L$115&amp;":"&amp;$R$114)</f>
        <v>#</v>
      </c>
      <c r="AA146" s="82" t="str">
        <f>_xll.BLUEMATRIX2("/servlet/excelData",M146,$B$1,$B146&amp;":"&amp;M$115&amp;":"&amp;$R$114)</f>
        <v>#</v>
      </c>
      <c r="AB146" s="82" t="str">
        <f>_xll.BLUEMATRIX2("/servlet/excelData",N146,$B$1,$B146&amp;":"&amp;N$115&amp;":"&amp;$R$114)</f>
        <v>#</v>
      </c>
      <c r="AC146" s="82" t="str">
        <f>_xll.BLUEMATRIX2("/servlet/excelData",O146,$B$1,$B146&amp;":"&amp;O$115&amp;":"&amp;$R$114)</f>
        <v>#</v>
      </c>
      <c r="AD146" s="82" t="str">
        <f>_xll.BLUEMATRIX2("/servlet/excelData",P146,$B$1,$B146&amp;":"&amp;P$115&amp;":"&amp;$R$114)</f>
        <v>#</v>
      </c>
      <c r="AE146" s="82" t="str">
        <f>_xll.BLUEMATRIX2("/servlet/excelData",Q146,$B$1,$B146&amp;":"&amp;Q$115&amp;":"&amp;$R$114)</f>
        <v>#</v>
      </c>
    </row>
    <row r="147" spans="1:31" ht="12.95" customHeight="1" x14ac:dyDescent="0.2">
      <c r="A147" s="115" t="s">
        <v>648</v>
      </c>
      <c r="B147" s="29" t="s">
        <v>649</v>
      </c>
      <c r="C147" s="110" t="s">
        <v>650</v>
      </c>
      <c r="D147" s="111"/>
      <c r="E147" s="111"/>
      <c r="F147" s="111">
        <f>FY!F73</f>
        <v>0</v>
      </c>
      <c r="G147" s="111">
        <f>FY!G73</f>
        <v>0</v>
      </c>
      <c r="H147" s="111">
        <f>H149-H143-H142</f>
        <v>-53.999999999999986</v>
      </c>
      <c r="I147" s="111">
        <f t="shared" ref="I147:Q147" si="9">I149-I143-I142</f>
        <v>-67.599999999999994</v>
      </c>
      <c r="J147" s="111">
        <f t="shared" si="9"/>
        <v>-54.346412420677382</v>
      </c>
      <c r="K147" s="111">
        <f t="shared" si="9"/>
        <v>-54.033372419111217</v>
      </c>
      <c r="L147" s="111">
        <f t="shared" si="9"/>
        <v>-53.875373139746785</v>
      </c>
      <c r="M147" s="111">
        <f t="shared" si="9"/>
        <v>-54.965452859884152</v>
      </c>
      <c r="N147" s="111">
        <f t="shared" si="9"/>
        <v>-56.599523700784715</v>
      </c>
      <c r="O147" s="111">
        <f t="shared" si="9"/>
        <v>-59.429499885823958</v>
      </c>
      <c r="P147" s="111">
        <f t="shared" si="9"/>
        <v>-62.400974880115172</v>
      </c>
      <c r="Q147" s="111">
        <f t="shared" si="9"/>
        <v>-65.521023624120915</v>
      </c>
      <c r="R147" s="1"/>
      <c r="S147" s="82" t="str">
        <f>_xll.BLUEMATRIX2("/servlet/excelData",E147,$B$1,$B147&amp;":"&amp;E$115&amp;":"&amp;$R$114)</f>
        <v>#</v>
      </c>
      <c r="T147" s="82" t="str">
        <f>_xll.BLUEMATRIX2("/servlet/excelData",F147,$B$1,$B147&amp;":"&amp;F$115&amp;":"&amp;$R$114)</f>
        <v>#</v>
      </c>
      <c r="U147" s="82" t="str">
        <f>_xll.BLUEMATRIX2("/servlet/excelData",G147,$B$1,$B147&amp;":"&amp;G$115&amp;":"&amp;$R$114)</f>
        <v>#</v>
      </c>
      <c r="V147" s="82" t="str">
        <f>_xll.BLUEMATRIX2("/servlet/excelData",H147,$B$1,$B147&amp;":"&amp;H$115&amp;":"&amp;$R$114)</f>
        <v>#</v>
      </c>
      <c r="W147" s="82" t="str">
        <f>_xll.BLUEMATRIX2("/servlet/excelData",I147,$B$1,$B147&amp;":"&amp;I$115&amp;":"&amp;$R$114)</f>
        <v>#</v>
      </c>
      <c r="X147" s="82" t="str">
        <f>_xll.BLUEMATRIX2("/servlet/excelData",J147,$B$1,$B147&amp;":"&amp;J$115&amp;":"&amp;$R$114)</f>
        <v>#</v>
      </c>
      <c r="Y147" s="82" t="str">
        <f>_xll.BLUEMATRIX2("/servlet/excelData",K147,$B$1,$B147&amp;":"&amp;K$115&amp;":"&amp;$R$114)</f>
        <v>#</v>
      </c>
      <c r="Z147" s="82" t="str">
        <f>_xll.BLUEMATRIX2("/servlet/excelData",L147,$B$1,$B147&amp;":"&amp;L$115&amp;":"&amp;$R$114)</f>
        <v>#</v>
      </c>
      <c r="AA147" s="82" t="str">
        <f>_xll.BLUEMATRIX2("/servlet/excelData",M147,$B$1,$B147&amp;":"&amp;M$115&amp;":"&amp;$R$114)</f>
        <v>#</v>
      </c>
      <c r="AB147" s="82" t="str">
        <f>_xll.BLUEMATRIX2("/servlet/excelData",N147,$B$1,$B147&amp;":"&amp;N$115&amp;":"&amp;$R$114)</f>
        <v>#</v>
      </c>
      <c r="AC147" s="82" t="str">
        <f>_xll.BLUEMATRIX2("/servlet/excelData",O147,$B$1,$B147&amp;":"&amp;O$115&amp;":"&amp;$R$114)</f>
        <v>#</v>
      </c>
      <c r="AD147" s="82" t="str">
        <f>_xll.BLUEMATRIX2("/servlet/excelData",P147,$B$1,$B147&amp;":"&amp;P$115&amp;":"&amp;$R$114)</f>
        <v>#</v>
      </c>
      <c r="AE147" s="82" t="str">
        <f>_xll.BLUEMATRIX2("/servlet/excelData",Q147,$B$1,$B147&amp;":"&amp;Q$115&amp;":"&amp;$R$114)</f>
        <v>#</v>
      </c>
    </row>
    <row r="148" spans="1:31" ht="12.95" customHeight="1" x14ac:dyDescent="0.2">
      <c r="A148" s="115" t="s">
        <v>651</v>
      </c>
      <c r="B148" s="29" t="s">
        <v>652</v>
      </c>
      <c r="C148" s="116" t="s">
        <v>129</v>
      </c>
      <c r="D148" s="117"/>
      <c r="E148" s="484"/>
      <c r="F148" s="484"/>
      <c r="G148" s="484"/>
      <c r="H148" s="484"/>
      <c r="I148" s="484"/>
      <c r="J148" s="484"/>
      <c r="K148" s="484"/>
      <c r="L148" s="484"/>
      <c r="M148" s="484"/>
      <c r="N148" s="484"/>
      <c r="O148" s="484"/>
      <c r="P148" s="484"/>
      <c r="Q148" s="484"/>
      <c r="R148" s="1"/>
      <c r="S148" s="82" t="str">
        <f>_xll.BLUEMATRIX2("/servlet/excelData",E148,$B$1,$B148&amp;":"&amp;E$115&amp;":"&amp;$R$114)</f>
        <v>#</v>
      </c>
      <c r="T148" s="82" t="str">
        <f>_xll.BLUEMATRIX2("/servlet/excelData",F148,$B$1,$B148&amp;":"&amp;F$115&amp;":"&amp;$R$114)</f>
        <v>#</v>
      </c>
      <c r="U148" s="82" t="str">
        <f>_xll.BLUEMATRIX2("/servlet/excelData",G148,$B$1,$B148&amp;":"&amp;G$115&amp;":"&amp;$R$114)</f>
        <v>#</v>
      </c>
      <c r="V148" s="82" t="str">
        <f>_xll.BLUEMATRIX2("/servlet/excelData",H148,$B$1,$B148&amp;":"&amp;H$115&amp;":"&amp;$R$114)</f>
        <v>#</v>
      </c>
      <c r="W148" s="82" t="str">
        <f>_xll.BLUEMATRIX2("/servlet/excelData",I148,$B$1,$B148&amp;":"&amp;I$115&amp;":"&amp;$R$114)</f>
        <v>#</v>
      </c>
      <c r="X148" s="82" t="str">
        <f>_xll.BLUEMATRIX2("/servlet/excelData",J148,$B$1,$B148&amp;":"&amp;J$115&amp;":"&amp;$R$114)</f>
        <v>#</v>
      </c>
      <c r="Y148" s="82" t="str">
        <f>_xll.BLUEMATRIX2("/servlet/excelData",K148,$B$1,$B148&amp;":"&amp;K$115&amp;":"&amp;$R$114)</f>
        <v>#</v>
      </c>
      <c r="Z148" s="82" t="str">
        <f>_xll.BLUEMATRIX2("/servlet/excelData",L148,$B$1,$B148&amp;":"&amp;L$115&amp;":"&amp;$R$114)</f>
        <v>#</v>
      </c>
      <c r="AA148" s="82" t="str">
        <f>_xll.BLUEMATRIX2("/servlet/excelData",M148,$B$1,$B148&amp;":"&amp;M$115&amp;":"&amp;$R$114)</f>
        <v>#</v>
      </c>
      <c r="AB148" s="82" t="str">
        <f>_xll.BLUEMATRIX2("/servlet/excelData",N148,$B$1,$B148&amp;":"&amp;N$115&amp;":"&amp;$R$114)</f>
        <v>#</v>
      </c>
      <c r="AC148" s="82" t="str">
        <f>_xll.BLUEMATRIX2("/servlet/excelData",O148,$B$1,$B148&amp;":"&amp;O$115&amp;":"&amp;$R$114)</f>
        <v>#</v>
      </c>
      <c r="AD148" s="82" t="str">
        <f>_xll.BLUEMATRIX2("/servlet/excelData",P148,$B$1,$B148&amp;":"&amp;P$115&amp;":"&amp;$R$114)</f>
        <v>#</v>
      </c>
      <c r="AE148" s="82" t="str">
        <f>_xll.BLUEMATRIX2("/servlet/excelData",Q148,$B$1,$B148&amp;":"&amp;Q$115&amp;":"&amp;$R$114)</f>
        <v>#</v>
      </c>
    </row>
    <row r="149" spans="1:31" ht="12.95" customHeight="1" x14ac:dyDescent="0.2">
      <c r="A149" s="109" t="s">
        <v>653</v>
      </c>
      <c r="B149" s="29" t="s">
        <v>75</v>
      </c>
      <c r="C149" s="118" t="s">
        <v>75</v>
      </c>
      <c r="D149" s="119"/>
      <c r="E149" s="485"/>
      <c r="F149" s="485">
        <f>FY!F123</f>
        <v>0</v>
      </c>
      <c r="G149" s="485">
        <f t="shared" ref="G149" si="10">G142+G143+G147+G148</f>
        <v>0</v>
      </c>
      <c r="H149" s="485">
        <f>FY!H75</f>
        <v>7.2</v>
      </c>
      <c r="I149" s="485">
        <f>FY!I75</f>
        <v>-7.1</v>
      </c>
      <c r="J149" s="485">
        <f>FY!J75</f>
        <v>16.471692986595372</v>
      </c>
      <c r="K149" s="485">
        <f>FY!K75</f>
        <v>21.580367708525142</v>
      </c>
      <c r="L149" s="485">
        <f>FY!L75</f>
        <v>25.531053994271389</v>
      </c>
      <c r="M149" s="485">
        <f>FY!M75</f>
        <v>28.423655630834983</v>
      </c>
      <c r="N149" s="485">
        <f>FY!N75</f>
        <v>30.971771014470328</v>
      </c>
      <c r="O149" s="485">
        <f>FY!O75</f>
        <v>32.533472289193867</v>
      </c>
      <c r="P149" s="485">
        <f>FY!P75</f>
        <v>34.173652009373534</v>
      </c>
      <c r="Q149" s="485">
        <f>FY!Q75</f>
        <v>35.896245898733802</v>
      </c>
      <c r="R149" s="1"/>
      <c r="S149" s="82" t="str">
        <f>_xll.BLUEMATRIX2("/servlet/excelData",E149,$B$1,$B149&amp;":"&amp;E$115&amp;":"&amp;$R$114)</f>
        <v>#</v>
      </c>
      <c r="T149" s="82" t="str">
        <f>_xll.BLUEMATRIX2("/servlet/excelData",F149,$B$1,$B149&amp;":"&amp;F$115&amp;":"&amp;$R$114)</f>
        <v>#</v>
      </c>
      <c r="U149" s="82" t="str">
        <f>_xll.BLUEMATRIX2("/servlet/excelData",G149,$B$1,$B149&amp;":"&amp;G$115&amp;":"&amp;$R$114)</f>
        <v>#</v>
      </c>
      <c r="V149" s="82" t="str">
        <f>_xll.BLUEMATRIX2("/servlet/excelData",H149,$B$1,$B149&amp;":"&amp;H$115&amp;":"&amp;$R$114)</f>
        <v>#</v>
      </c>
      <c r="W149" s="82" t="str">
        <f>_xll.BLUEMATRIX2("/servlet/excelData",I149,$B$1,$B149&amp;":"&amp;I$115&amp;":"&amp;$R$114)</f>
        <v>#</v>
      </c>
      <c r="X149" s="82" t="str">
        <f>_xll.BLUEMATRIX2("/servlet/excelData",J149,$B$1,$B149&amp;":"&amp;J$115&amp;":"&amp;$R$114)</f>
        <v>#</v>
      </c>
      <c r="Y149" s="82" t="str">
        <f>_xll.BLUEMATRIX2("/servlet/excelData",K149,$B$1,$B149&amp;":"&amp;K$115&amp;":"&amp;$R$114)</f>
        <v>#</v>
      </c>
      <c r="Z149" s="82" t="str">
        <f>_xll.BLUEMATRIX2("/servlet/excelData",L149,$B$1,$B149&amp;":"&amp;L$115&amp;":"&amp;$R$114)</f>
        <v>#</v>
      </c>
      <c r="AA149" s="82" t="str">
        <f>_xll.BLUEMATRIX2("/servlet/excelData",M149,$B$1,$B149&amp;":"&amp;M$115&amp;":"&amp;$R$114)</f>
        <v>#</v>
      </c>
      <c r="AB149" s="82" t="str">
        <f>_xll.BLUEMATRIX2("/servlet/excelData",N149,$B$1,$B149&amp;":"&amp;N$115&amp;":"&amp;$R$114)</f>
        <v>#</v>
      </c>
      <c r="AC149" s="82" t="str">
        <f>_xll.BLUEMATRIX2("/servlet/excelData",O149,$B$1,$B149&amp;":"&amp;O$115&amp;":"&amp;$R$114)</f>
        <v>#</v>
      </c>
      <c r="AD149" s="82" t="str">
        <f>_xll.BLUEMATRIX2("/servlet/excelData",P149,$B$1,$B149&amp;":"&amp;P$115&amp;":"&amp;$R$114)</f>
        <v>#</v>
      </c>
      <c r="AE149" s="82" t="str">
        <f>_xll.BLUEMATRIX2("/servlet/excelData",Q149,$B$1,$B149&amp;":"&amp;Q$115&amp;":"&amp;$R$114)</f>
        <v>#</v>
      </c>
    </row>
    <row r="150" spans="1:31" ht="12.95" customHeight="1" x14ac:dyDescent="0.2">
      <c r="A150" s="109" t="s">
        <v>654</v>
      </c>
      <c r="B150" s="29" t="s">
        <v>655</v>
      </c>
      <c r="C150" s="110" t="s">
        <v>655</v>
      </c>
      <c r="D150" s="111"/>
      <c r="E150" s="111"/>
      <c r="F150" s="111"/>
      <c r="G150" s="111"/>
      <c r="H150" s="111"/>
      <c r="I150" s="111"/>
      <c r="J150" s="111"/>
      <c r="K150" s="111"/>
      <c r="L150" s="111"/>
      <c r="M150" s="111"/>
      <c r="N150" s="111"/>
      <c r="O150" s="111"/>
      <c r="P150" s="111"/>
      <c r="Q150" s="111"/>
      <c r="R150" s="1"/>
      <c r="S150" s="82" t="str">
        <f>_xll.BLUEMATRIX2("/servlet/excelData",E150,$B$1,$B150&amp;":"&amp;E$115&amp;":"&amp;$R$114)</f>
        <v>#</v>
      </c>
      <c r="T150" s="82" t="str">
        <f>_xll.BLUEMATRIX2("/servlet/excelData",F150,$B$1,$B150&amp;":"&amp;F$115&amp;":"&amp;$R$114)</f>
        <v>#</v>
      </c>
      <c r="U150" s="82" t="str">
        <f>_xll.BLUEMATRIX2("/servlet/excelData",G150,$B$1,$B150&amp;":"&amp;G$115&amp;":"&amp;$R$114)</f>
        <v>#</v>
      </c>
      <c r="V150" s="82" t="str">
        <f>_xll.BLUEMATRIX2("/servlet/excelData",H150,$B$1,$B150&amp;":"&amp;H$115&amp;":"&amp;$R$114)</f>
        <v>#</v>
      </c>
      <c r="W150" s="82" t="str">
        <f>_xll.BLUEMATRIX2("/servlet/excelData",I150,$B$1,$B150&amp;":"&amp;I$115&amp;":"&amp;$R$114)</f>
        <v>#</v>
      </c>
      <c r="X150" s="82" t="str">
        <f>_xll.BLUEMATRIX2("/servlet/excelData",J150,$B$1,$B150&amp;":"&amp;J$115&amp;":"&amp;$R$114)</f>
        <v>#</v>
      </c>
      <c r="Y150" s="82" t="str">
        <f>_xll.BLUEMATRIX2("/servlet/excelData",K150,$B$1,$B150&amp;":"&amp;K$115&amp;":"&amp;$R$114)</f>
        <v>#</v>
      </c>
      <c r="Z150" s="82" t="str">
        <f>_xll.BLUEMATRIX2("/servlet/excelData",L150,$B$1,$B150&amp;":"&amp;L$115&amp;":"&amp;$R$114)</f>
        <v>#</v>
      </c>
      <c r="AA150" s="82" t="str">
        <f>_xll.BLUEMATRIX2("/servlet/excelData",M150,$B$1,$B150&amp;":"&amp;M$115&amp;":"&amp;$R$114)</f>
        <v>#</v>
      </c>
      <c r="AB150" s="82" t="str">
        <f>_xll.BLUEMATRIX2("/servlet/excelData",N150,$B$1,$B150&amp;":"&amp;N$115&amp;":"&amp;$R$114)</f>
        <v>#</v>
      </c>
      <c r="AC150" s="82" t="str">
        <f>_xll.BLUEMATRIX2("/servlet/excelData",O150,$B$1,$B150&amp;":"&amp;O$115&amp;":"&amp;$R$114)</f>
        <v>#</v>
      </c>
      <c r="AD150" s="82" t="str">
        <f>_xll.BLUEMATRIX2("/servlet/excelData",P150,$B$1,$B150&amp;":"&amp;P$115&amp;":"&amp;$R$114)</f>
        <v>#</v>
      </c>
      <c r="AE150" s="82" t="str">
        <f>_xll.BLUEMATRIX2("/servlet/excelData",Q150,$B$1,$B150&amp;":"&amp;Q$115&amp;":"&amp;$R$114)</f>
        <v>#</v>
      </c>
    </row>
    <row r="151" spans="1:31" ht="12.95" customHeight="1" x14ac:dyDescent="0.2">
      <c r="A151" s="109" t="s">
        <v>656</v>
      </c>
      <c r="B151" s="29" t="s">
        <v>657</v>
      </c>
      <c r="C151" s="110" t="s">
        <v>658</v>
      </c>
      <c r="D151" s="111"/>
      <c r="E151" s="111"/>
      <c r="F151" s="111"/>
      <c r="G151" s="111"/>
      <c r="H151" s="111"/>
      <c r="I151" s="111"/>
      <c r="J151" s="111"/>
      <c r="K151" s="111"/>
      <c r="L151" s="111"/>
      <c r="M151" s="111"/>
      <c r="N151" s="111"/>
      <c r="O151" s="111"/>
      <c r="P151" s="111"/>
      <c r="Q151" s="111"/>
      <c r="R151" s="1"/>
      <c r="S151" s="82" t="str">
        <f>_xll.BLUEMATRIX2("/servlet/excelData",E151,$B$1,$B151&amp;":"&amp;E$115&amp;":"&amp;$R$114)</f>
        <v>#</v>
      </c>
      <c r="T151" s="82" t="str">
        <f>_xll.BLUEMATRIX2("/servlet/excelData",F151,$B$1,$B151&amp;":"&amp;F$115&amp;":"&amp;$R$114)</f>
        <v>#</v>
      </c>
      <c r="U151" s="82" t="str">
        <f>_xll.BLUEMATRIX2("/servlet/excelData",G151,$B$1,$B151&amp;":"&amp;G$115&amp;":"&amp;$R$114)</f>
        <v>#</v>
      </c>
      <c r="V151" s="82" t="str">
        <f>_xll.BLUEMATRIX2("/servlet/excelData",H151,$B$1,$B151&amp;":"&amp;H$115&amp;":"&amp;$R$114)</f>
        <v>#</v>
      </c>
      <c r="W151" s="82" t="str">
        <f>_xll.BLUEMATRIX2("/servlet/excelData",I151,$B$1,$B151&amp;":"&amp;I$115&amp;":"&amp;$R$114)</f>
        <v>#</v>
      </c>
      <c r="X151" s="82" t="str">
        <f>_xll.BLUEMATRIX2("/servlet/excelData",J151,$B$1,$B151&amp;":"&amp;J$115&amp;":"&amp;$R$114)</f>
        <v>#</v>
      </c>
      <c r="Y151" s="82" t="str">
        <f>_xll.BLUEMATRIX2("/servlet/excelData",K151,$B$1,$B151&amp;":"&amp;K$115&amp;":"&amp;$R$114)</f>
        <v>#</v>
      </c>
      <c r="Z151" s="82" t="str">
        <f>_xll.BLUEMATRIX2("/servlet/excelData",L151,$B$1,$B151&amp;":"&amp;L$115&amp;":"&amp;$R$114)</f>
        <v>#</v>
      </c>
      <c r="AA151" s="82" t="str">
        <f>_xll.BLUEMATRIX2("/servlet/excelData",M151,$B$1,$B151&amp;":"&amp;M$115&amp;":"&amp;$R$114)</f>
        <v>#</v>
      </c>
      <c r="AB151" s="82" t="str">
        <f>_xll.BLUEMATRIX2("/servlet/excelData",N151,$B$1,$B151&amp;":"&amp;N$115&amp;":"&amp;$R$114)</f>
        <v>#</v>
      </c>
      <c r="AC151" s="82" t="str">
        <f>_xll.BLUEMATRIX2("/servlet/excelData",O151,$B$1,$B151&amp;":"&amp;O$115&amp;":"&amp;$R$114)</f>
        <v>#</v>
      </c>
      <c r="AD151" s="82" t="str">
        <f>_xll.BLUEMATRIX2("/servlet/excelData",P151,$B$1,$B151&amp;":"&amp;P$115&amp;":"&amp;$R$114)</f>
        <v>#</v>
      </c>
      <c r="AE151" s="82" t="str">
        <f>_xll.BLUEMATRIX2("/servlet/excelData",Q151,$B$1,$B151&amp;":"&amp;Q$115&amp;":"&amp;$R$114)</f>
        <v>#</v>
      </c>
    </row>
    <row r="152" spans="1:31" ht="12.95" customHeight="1" x14ac:dyDescent="0.2">
      <c r="A152" s="109" t="s">
        <v>659</v>
      </c>
      <c r="B152" s="29" t="s">
        <v>660</v>
      </c>
      <c r="C152" s="110" t="s">
        <v>661</v>
      </c>
      <c r="D152" s="111"/>
      <c r="E152" s="111"/>
      <c r="F152" s="111"/>
      <c r="G152" s="111"/>
      <c r="H152" s="111"/>
      <c r="I152" s="111"/>
      <c r="J152" s="111"/>
      <c r="K152" s="111"/>
      <c r="L152" s="111"/>
      <c r="M152" s="111"/>
      <c r="N152" s="111"/>
      <c r="O152" s="111"/>
      <c r="P152" s="111"/>
      <c r="Q152" s="111"/>
      <c r="R152" s="1"/>
      <c r="S152" s="82" t="str">
        <f>_xll.BLUEMATRIX2("/servlet/excelData",E152,$B$1,$B152&amp;":"&amp;E$115&amp;":"&amp;$R$114)</f>
        <v>#</v>
      </c>
      <c r="T152" s="82" t="str">
        <f>_xll.BLUEMATRIX2("/servlet/excelData",F152,$B$1,$B152&amp;":"&amp;F$115&amp;":"&amp;$R$114)</f>
        <v>#</v>
      </c>
      <c r="U152" s="82" t="str">
        <f>_xll.BLUEMATRIX2("/servlet/excelData",G152,$B$1,$B152&amp;":"&amp;G$115&amp;":"&amp;$R$114)</f>
        <v>#</v>
      </c>
      <c r="V152" s="82" t="str">
        <f>_xll.BLUEMATRIX2("/servlet/excelData",H152,$B$1,$B152&amp;":"&amp;H$115&amp;":"&amp;$R$114)</f>
        <v>#</v>
      </c>
      <c r="W152" s="82" t="str">
        <f>_xll.BLUEMATRIX2("/servlet/excelData",I152,$B$1,$B152&amp;":"&amp;I$115&amp;":"&amp;$R$114)</f>
        <v>#</v>
      </c>
      <c r="X152" s="82" t="str">
        <f>_xll.BLUEMATRIX2("/servlet/excelData",J152,$B$1,$B152&amp;":"&amp;J$115&amp;":"&amp;$R$114)</f>
        <v>#</v>
      </c>
      <c r="Y152" s="82" t="str">
        <f>_xll.BLUEMATRIX2("/servlet/excelData",K152,$B$1,$B152&amp;":"&amp;K$115&amp;":"&amp;$R$114)</f>
        <v>#</v>
      </c>
      <c r="Z152" s="82" t="str">
        <f>_xll.BLUEMATRIX2("/servlet/excelData",L152,$B$1,$B152&amp;":"&amp;L$115&amp;":"&amp;$R$114)</f>
        <v>#</v>
      </c>
      <c r="AA152" s="82" t="str">
        <f>_xll.BLUEMATRIX2("/servlet/excelData",M152,$B$1,$B152&amp;":"&amp;M$115&amp;":"&amp;$R$114)</f>
        <v>#</v>
      </c>
      <c r="AB152" s="82" t="str">
        <f>_xll.BLUEMATRIX2("/servlet/excelData",N152,$B$1,$B152&amp;":"&amp;N$115&amp;":"&amp;$R$114)</f>
        <v>#</v>
      </c>
      <c r="AC152" s="82" t="str">
        <f>_xll.BLUEMATRIX2("/servlet/excelData",O152,$B$1,$B152&amp;":"&amp;O$115&amp;":"&amp;$R$114)</f>
        <v>#</v>
      </c>
      <c r="AD152" s="82" t="str">
        <f>_xll.BLUEMATRIX2("/servlet/excelData",P152,$B$1,$B152&amp;":"&amp;P$115&amp;":"&amp;$R$114)</f>
        <v>#</v>
      </c>
      <c r="AE152" s="82" t="str">
        <f>_xll.BLUEMATRIX2("/servlet/excelData",Q152,$B$1,$B152&amp;":"&amp;Q$115&amp;":"&amp;$R$114)</f>
        <v>#</v>
      </c>
    </row>
    <row r="153" spans="1:31" ht="12.95" customHeight="1" x14ac:dyDescent="0.2">
      <c r="A153" s="109" t="s">
        <v>662</v>
      </c>
      <c r="B153" s="29" t="s">
        <v>663</v>
      </c>
      <c r="C153" s="110" t="s">
        <v>664</v>
      </c>
      <c r="D153" s="111"/>
      <c r="E153" s="111"/>
      <c r="F153" s="111"/>
      <c r="G153" s="111"/>
      <c r="H153" s="111"/>
      <c r="I153" s="111"/>
      <c r="J153" s="111"/>
      <c r="K153" s="111"/>
      <c r="L153" s="111"/>
      <c r="M153" s="111"/>
      <c r="N153" s="111"/>
      <c r="O153" s="111"/>
      <c r="P153" s="111"/>
      <c r="Q153" s="111"/>
      <c r="R153" s="1"/>
      <c r="S153" s="82" t="str">
        <f>_xll.BLUEMATRIX2("/servlet/excelData",E153,$B$1,$B153&amp;":"&amp;E$115&amp;":"&amp;$R$114)</f>
        <v>#</v>
      </c>
      <c r="T153" s="82" t="str">
        <f>_xll.BLUEMATRIX2("/servlet/excelData",F153,$B$1,$B153&amp;":"&amp;F$115&amp;":"&amp;$R$114)</f>
        <v>#</v>
      </c>
      <c r="U153" s="82" t="str">
        <f>_xll.BLUEMATRIX2("/servlet/excelData",G153,$B$1,$B153&amp;":"&amp;G$115&amp;":"&amp;$R$114)</f>
        <v>#</v>
      </c>
      <c r="V153" s="82" t="str">
        <f>_xll.BLUEMATRIX2("/servlet/excelData",H153,$B$1,$B153&amp;":"&amp;H$115&amp;":"&amp;$R$114)</f>
        <v>#</v>
      </c>
      <c r="W153" s="82" t="str">
        <f>_xll.BLUEMATRIX2("/servlet/excelData",I153,$B$1,$B153&amp;":"&amp;I$115&amp;":"&amp;$R$114)</f>
        <v>#</v>
      </c>
      <c r="X153" s="82" t="str">
        <f>_xll.BLUEMATRIX2("/servlet/excelData",J153,$B$1,$B153&amp;":"&amp;J$115&amp;":"&amp;$R$114)</f>
        <v>#</v>
      </c>
      <c r="Y153" s="82" t="str">
        <f>_xll.BLUEMATRIX2("/servlet/excelData",K153,$B$1,$B153&amp;":"&amp;K$115&amp;":"&amp;$R$114)</f>
        <v>#</v>
      </c>
      <c r="Z153" s="82" t="str">
        <f>_xll.BLUEMATRIX2("/servlet/excelData",L153,$B$1,$B153&amp;":"&amp;L$115&amp;":"&amp;$R$114)</f>
        <v>#</v>
      </c>
      <c r="AA153" s="82" t="str">
        <f>_xll.BLUEMATRIX2("/servlet/excelData",M153,$B$1,$B153&amp;":"&amp;M$115&amp;":"&amp;$R$114)</f>
        <v>#</v>
      </c>
      <c r="AB153" s="82" t="str">
        <f>_xll.BLUEMATRIX2("/servlet/excelData",N153,$B$1,$B153&amp;":"&amp;N$115&amp;":"&amp;$R$114)</f>
        <v>#</v>
      </c>
      <c r="AC153" s="82" t="str">
        <f>_xll.BLUEMATRIX2("/servlet/excelData",O153,$B$1,$B153&amp;":"&amp;O$115&amp;":"&amp;$R$114)</f>
        <v>#</v>
      </c>
      <c r="AD153" s="82" t="str">
        <f>_xll.BLUEMATRIX2("/servlet/excelData",P153,$B$1,$B153&amp;":"&amp;P$115&amp;":"&amp;$R$114)</f>
        <v>#</v>
      </c>
      <c r="AE153" s="82" t="str">
        <f>_xll.BLUEMATRIX2("/servlet/excelData",Q153,$B$1,$B153&amp;":"&amp;Q$115&amp;":"&amp;$R$114)</f>
        <v>#</v>
      </c>
    </row>
    <row r="154" spans="1:31" ht="12.95" customHeight="1" x14ac:dyDescent="0.2">
      <c r="A154" s="109" t="s">
        <v>665</v>
      </c>
      <c r="B154" s="29" t="s">
        <v>666</v>
      </c>
      <c r="C154" s="116" t="s">
        <v>197</v>
      </c>
      <c r="D154" s="117"/>
      <c r="E154" s="484"/>
      <c r="F154" s="484">
        <f>FY!F124</f>
        <v>0</v>
      </c>
      <c r="G154" s="484">
        <f>FY!G124</f>
        <v>0</v>
      </c>
      <c r="H154" s="484">
        <f>FY!H76</f>
        <v>-4.0999999999999996</v>
      </c>
      <c r="I154" s="484">
        <f>FY!I76</f>
        <v>-12.9</v>
      </c>
      <c r="J154" s="484">
        <f>FY!J76</f>
        <v>-10.169735927943957</v>
      </c>
      <c r="K154" s="484">
        <f>FY!K76</f>
        <v>-10.166735968871576</v>
      </c>
      <c r="L154" s="484">
        <f>FY!L76</f>
        <v>-10.26873569928852</v>
      </c>
      <c r="M154" s="484">
        <f>FY!M76</f>
        <v>-10.405165385407955</v>
      </c>
      <c r="N154" s="484">
        <f>FY!N76</f>
        <v>-10.476624125632277</v>
      </c>
      <c r="O154" s="484">
        <f>FY!O76</f>
        <v>-10.643918465975116</v>
      </c>
      <c r="P154" s="484">
        <f>FY!P76</f>
        <v>-10.892873145586211</v>
      </c>
      <c r="Q154" s="484">
        <f>FY!Q76</f>
        <v>-11.212503319576792</v>
      </c>
      <c r="R154" s="1"/>
      <c r="S154" s="82" t="str">
        <f>_xll.BLUEMATRIX2("/servlet/excelData",E154,$B$1,$B154&amp;":"&amp;E$115&amp;":"&amp;$R$114)</f>
        <v>#</v>
      </c>
      <c r="T154" s="82" t="str">
        <f>_xll.BLUEMATRIX2("/servlet/excelData",F154,$B$1,$B154&amp;":"&amp;F$115&amp;":"&amp;$R$114)</f>
        <v>#</v>
      </c>
      <c r="U154" s="82" t="str">
        <f>_xll.BLUEMATRIX2("/servlet/excelData",G154,$B$1,$B154&amp;":"&amp;G$115&amp;":"&amp;$R$114)</f>
        <v>#</v>
      </c>
      <c r="V154" s="82" t="str">
        <f>_xll.BLUEMATRIX2("/servlet/excelData",H154,$B$1,$B154&amp;":"&amp;H$115&amp;":"&amp;$R$114)</f>
        <v>#</v>
      </c>
      <c r="W154" s="82" t="str">
        <f>_xll.BLUEMATRIX2("/servlet/excelData",I154,$B$1,$B154&amp;":"&amp;I$115&amp;":"&amp;$R$114)</f>
        <v>#</v>
      </c>
      <c r="X154" s="82" t="str">
        <f>_xll.BLUEMATRIX2("/servlet/excelData",J154,$B$1,$B154&amp;":"&amp;J$115&amp;":"&amp;$R$114)</f>
        <v>#</v>
      </c>
      <c r="Y154" s="82" t="str">
        <f>_xll.BLUEMATRIX2("/servlet/excelData",K154,$B$1,$B154&amp;":"&amp;K$115&amp;":"&amp;$R$114)</f>
        <v>#</v>
      </c>
      <c r="Z154" s="82" t="str">
        <f>_xll.BLUEMATRIX2("/servlet/excelData",L154,$B$1,$B154&amp;":"&amp;L$115&amp;":"&amp;$R$114)</f>
        <v>#</v>
      </c>
      <c r="AA154" s="82" t="str">
        <f>_xll.BLUEMATRIX2("/servlet/excelData",M154,$B$1,$B154&amp;":"&amp;M$115&amp;":"&amp;$R$114)</f>
        <v>#</v>
      </c>
      <c r="AB154" s="82" t="str">
        <f>_xll.BLUEMATRIX2("/servlet/excelData",N154,$B$1,$B154&amp;":"&amp;N$115&amp;":"&amp;$R$114)</f>
        <v>#</v>
      </c>
      <c r="AC154" s="82" t="str">
        <f>_xll.BLUEMATRIX2("/servlet/excelData",O154,$B$1,$B154&amp;":"&amp;O$115&amp;":"&amp;$R$114)</f>
        <v>#</v>
      </c>
      <c r="AD154" s="82" t="str">
        <f>_xll.BLUEMATRIX2("/servlet/excelData",P154,$B$1,$B154&amp;":"&amp;P$115&amp;":"&amp;$R$114)</f>
        <v>#</v>
      </c>
      <c r="AE154" s="82" t="str">
        <f>_xll.BLUEMATRIX2("/servlet/excelData",Q154,$B$1,$B154&amp;":"&amp;Q$115&amp;":"&amp;$R$114)</f>
        <v>#</v>
      </c>
    </row>
    <row r="155" spans="1:31" ht="12.95" customHeight="1" x14ac:dyDescent="0.2">
      <c r="A155" s="109" t="s">
        <v>667</v>
      </c>
      <c r="B155" s="29" t="s">
        <v>668</v>
      </c>
      <c r="C155" s="116" t="s">
        <v>668</v>
      </c>
      <c r="D155" s="117"/>
      <c r="E155" s="117"/>
      <c r="F155" s="117"/>
      <c r="G155" s="117"/>
      <c r="H155" s="117"/>
      <c r="I155" s="117"/>
      <c r="J155" s="117"/>
      <c r="K155" s="117"/>
      <c r="L155" s="117"/>
      <c r="M155" s="117"/>
      <c r="N155" s="117"/>
      <c r="O155" s="117"/>
      <c r="P155" s="117"/>
      <c r="Q155" s="117"/>
      <c r="R155" s="1"/>
      <c r="S155" s="82" t="str">
        <f>_xll.BLUEMATRIX2("/servlet/excelData",E155,$B$1,$B155&amp;":"&amp;E$115&amp;":"&amp;$R$114)</f>
        <v>#</v>
      </c>
      <c r="T155" s="82" t="str">
        <f>_xll.BLUEMATRIX2("/servlet/excelData",F155,$B$1,$B155&amp;":"&amp;F$115&amp;":"&amp;$R$114)</f>
        <v>#</v>
      </c>
      <c r="U155" s="82" t="str">
        <f>_xll.BLUEMATRIX2("/servlet/excelData",G155,$B$1,$B155&amp;":"&amp;G$115&amp;":"&amp;$R$114)</f>
        <v>#</v>
      </c>
      <c r="V155" s="82" t="str">
        <f>_xll.BLUEMATRIX2("/servlet/excelData",H155,$B$1,$B155&amp;":"&amp;H$115&amp;":"&amp;$R$114)</f>
        <v>#</v>
      </c>
      <c r="W155" s="82" t="str">
        <f>_xll.BLUEMATRIX2("/servlet/excelData",I155,$B$1,$B155&amp;":"&amp;I$115&amp;":"&amp;$R$114)</f>
        <v>#</v>
      </c>
      <c r="X155" s="82" t="str">
        <f>_xll.BLUEMATRIX2("/servlet/excelData",J155,$B$1,$B155&amp;":"&amp;J$115&amp;":"&amp;$R$114)</f>
        <v>#</v>
      </c>
      <c r="Y155" s="82" t="str">
        <f>_xll.BLUEMATRIX2("/servlet/excelData",K155,$B$1,$B155&amp;":"&amp;K$115&amp;":"&amp;$R$114)</f>
        <v>#</v>
      </c>
      <c r="Z155" s="82" t="str">
        <f>_xll.BLUEMATRIX2("/servlet/excelData",L155,$B$1,$B155&amp;":"&amp;L$115&amp;":"&amp;$R$114)</f>
        <v>#</v>
      </c>
      <c r="AA155" s="82" t="str">
        <f>_xll.BLUEMATRIX2("/servlet/excelData",M155,$B$1,$B155&amp;":"&amp;M$115&amp;":"&amp;$R$114)</f>
        <v>#</v>
      </c>
      <c r="AB155" s="82" t="str">
        <f>_xll.BLUEMATRIX2("/servlet/excelData",N155,$B$1,$B155&amp;":"&amp;N$115&amp;":"&amp;$R$114)</f>
        <v>#</v>
      </c>
      <c r="AC155" s="82" t="str">
        <f>_xll.BLUEMATRIX2("/servlet/excelData",O155,$B$1,$B155&amp;":"&amp;O$115&amp;":"&amp;$R$114)</f>
        <v>#</v>
      </c>
      <c r="AD155" s="82" t="str">
        <f>_xll.BLUEMATRIX2("/servlet/excelData",P155,$B$1,$B155&amp;":"&amp;P$115&amp;":"&amp;$R$114)</f>
        <v>#</v>
      </c>
      <c r="AE155" s="82" t="str">
        <f>_xll.BLUEMATRIX2("/servlet/excelData",Q155,$B$1,$B155&amp;":"&amp;Q$115&amp;":"&amp;$R$114)</f>
        <v>#</v>
      </c>
    </row>
    <row r="156" spans="1:31" ht="12.95" customHeight="1" x14ac:dyDescent="0.2">
      <c r="A156" s="109" t="s">
        <v>669</v>
      </c>
      <c r="B156" s="29" t="s">
        <v>670</v>
      </c>
      <c r="C156" s="118" t="s">
        <v>670</v>
      </c>
      <c r="D156" s="119"/>
      <c r="E156" s="119"/>
      <c r="F156" s="119">
        <f t="shared" ref="F156:Q156" si="11">F149+F154</f>
        <v>0</v>
      </c>
      <c r="G156" s="119">
        <f t="shared" si="11"/>
        <v>0</v>
      </c>
      <c r="H156" s="119">
        <f t="shared" si="11"/>
        <v>3.1000000000000005</v>
      </c>
      <c r="I156" s="119">
        <f t="shared" si="11"/>
        <v>-20</v>
      </c>
      <c r="J156" s="119">
        <f t="shared" si="11"/>
        <v>6.3019570586514142</v>
      </c>
      <c r="K156" s="119">
        <f t="shared" si="11"/>
        <v>11.413631739653566</v>
      </c>
      <c r="L156" s="119">
        <f t="shared" si="11"/>
        <v>15.262318294982869</v>
      </c>
      <c r="M156" s="119">
        <f t="shared" si="11"/>
        <v>18.018490245427028</v>
      </c>
      <c r="N156" s="119">
        <f t="shared" si="11"/>
        <v>20.49514688883805</v>
      </c>
      <c r="O156" s="119">
        <f t="shared" si="11"/>
        <v>21.889553823218751</v>
      </c>
      <c r="P156" s="119">
        <f t="shared" si="11"/>
        <v>23.280778863787322</v>
      </c>
      <c r="Q156" s="119">
        <f t="shared" si="11"/>
        <v>24.683742579157013</v>
      </c>
      <c r="R156" s="1"/>
      <c r="S156" s="82" t="str">
        <f>_xll.BLUEMATRIX2("/servlet/excelData",E156,$B$1,$B156&amp;":"&amp;E$115&amp;":"&amp;$R$114)</f>
        <v>#</v>
      </c>
      <c r="T156" s="82" t="str">
        <f>_xll.BLUEMATRIX2("/servlet/excelData",F156,$B$1,$B156&amp;":"&amp;F$115&amp;":"&amp;$R$114)</f>
        <v>#</v>
      </c>
      <c r="U156" s="82" t="str">
        <f>_xll.BLUEMATRIX2("/servlet/excelData",G156,$B$1,$B156&amp;":"&amp;G$115&amp;":"&amp;$R$114)</f>
        <v>#</v>
      </c>
      <c r="V156" s="82" t="str">
        <f>_xll.BLUEMATRIX2("/servlet/excelData",H156,$B$1,$B156&amp;":"&amp;H$115&amp;":"&amp;$R$114)</f>
        <v>#</v>
      </c>
      <c r="W156" s="82" t="str">
        <f>_xll.BLUEMATRIX2("/servlet/excelData",I156,$B$1,$B156&amp;":"&amp;I$115&amp;":"&amp;$R$114)</f>
        <v>#</v>
      </c>
      <c r="X156" s="82" t="str">
        <f>_xll.BLUEMATRIX2("/servlet/excelData",J156,$B$1,$B156&amp;":"&amp;J$115&amp;":"&amp;$R$114)</f>
        <v>#</v>
      </c>
      <c r="Y156" s="82" t="str">
        <f>_xll.BLUEMATRIX2("/servlet/excelData",K156,$B$1,$B156&amp;":"&amp;K$115&amp;":"&amp;$R$114)</f>
        <v>#</v>
      </c>
      <c r="Z156" s="82" t="str">
        <f>_xll.BLUEMATRIX2("/servlet/excelData",L156,$B$1,$B156&amp;":"&amp;L$115&amp;":"&amp;$R$114)</f>
        <v>#</v>
      </c>
      <c r="AA156" s="82" t="str">
        <f>_xll.BLUEMATRIX2("/servlet/excelData",M156,$B$1,$B156&amp;":"&amp;M$115&amp;":"&amp;$R$114)</f>
        <v>#</v>
      </c>
      <c r="AB156" s="82" t="str">
        <f>_xll.BLUEMATRIX2("/servlet/excelData",N156,$B$1,$B156&amp;":"&amp;N$115&amp;":"&amp;$R$114)</f>
        <v>#</v>
      </c>
      <c r="AC156" s="82" t="str">
        <f>_xll.BLUEMATRIX2("/servlet/excelData",O156,$B$1,$B156&amp;":"&amp;O$115&amp;":"&amp;$R$114)</f>
        <v>#</v>
      </c>
      <c r="AD156" s="82" t="str">
        <f>_xll.BLUEMATRIX2("/servlet/excelData",P156,$B$1,$B156&amp;":"&amp;P$115&amp;":"&amp;$R$114)</f>
        <v>#</v>
      </c>
      <c r="AE156" s="82" t="str">
        <f>_xll.BLUEMATRIX2("/servlet/excelData",Q156,$B$1,$B156&amp;":"&amp;Q$115&amp;":"&amp;$R$114)</f>
        <v>#</v>
      </c>
    </row>
    <row r="157" spans="1:31" ht="12.95" customHeight="1" x14ac:dyDescent="0.2">
      <c r="A157" s="109" t="s">
        <v>671</v>
      </c>
      <c r="B157" s="29" t="s">
        <v>672</v>
      </c>
      <c r="C157" s="110" t="s">
        <v>241</v>
      </c>
      <c r="D157" s="111"/>
      <c r="E157" s="111"/>
      <c r="F157" s="111"/>
      <c r="G157" s="111"/>
      <c r="H157" s="111"/>
      <c r="I157" s="111"/>
      <c r="J157" s="111"/>
      <c r="K157" s="111"/>
      <c r="L157" s="111"/>
      <c r="M157" s="111"/>
      <c r="N157" s="111"/>
      <c r="O157" s="111"/>
      <c r="P157" s="111"/>
      <c r="Q157" s="111"/>
      <c r="R157" s="112"/>
      <c r="S157" s="82" t="str">
        <f>_xll.BLUEMATRIX2("/servlet/excelData",E157,$B$1,$B157&amp;":"&amp;E$115&amp;":"&amp;$R$114)</f>
        <v>#</v>
      </c>
      <c r="T157" s="82" t="str">
        <f>_xll.BLUEMATRIX2("/servlet/excelData",F157,$B$1,$B157&amp;":"&amp;F$115&amp;":"&amp;$R$114)</f>
        <v>#</v>
      </c>
      <c r="U157" s="82" t="str">
        <f>_xll.BLUEMATRIX2("/servlet/excelData",G157,$B$1,$B157&amp;":"&amp;G$115&amp;":"&amp;$R$114)</f>
        <v>#</v>
      </c>
      <c r="V157" s="82" t="str">
        <f>_xll.BLUEMATRIX2("/servlet/excelData",H157,$B$1,$B157&amp;":"&amp;H$115&amp;":"&amp;$R$114)</f>
        <v>#</v>
      </c>
      <c r="W157" s="82" t="str">
        <f>_xll.BLUEMATRIX2("/servlet/excelData",I157,$B$1,$B157&amp;":"&amp;I$115&amp;":"&amp;$R$114)</f>
        <v>#</v>
      </c>
      <c r="X157" s="82" t="str">
        <f>_xll.BLUEMATRIX2("/servlet/excelData",J157,$B$1,$B157&amp;":"&amp;J$115&amp;":"&amp;$R$114)</f>
        <v>#</v>
      </c>
      <c r="Y157" s="82" t="str">
        <f>_xll.BLUEMATRIX2("/servlet/excelData",K157,$B$1,$B157&amp;":"&amp;K$115&amp;":"&amp;$R$114)</f>
        <v>#</v>
      </c>
      <c r="Z157" s="82" t="str">
        <f>_xll.BLUEMATRIX2("/servlet/excelData",L157,$B$1,$B157&amp;":"&amp;L$115&amp;":"&amp;$R$114)</f>
        <v>#</v>
      </c>
      <c r="AA157" s="82" t="str">
        <f>_xll.BLUEMATRIX2("/servlet/excelData",M157,$B$1,$B157&amp;":"&amp;M$115&amp;":"&amp;$R$114)</f>
        <v>#</v>
      </c>
      <c r="AB157" s="82" t="str">
        <f>_xll.BLUEMATRIX2("/servlet/excelData",N157,$B$1,$B157&amp;":"&amp;N$115&amp;":"&amp;$R$114)</f>
        <v>#</v>
      </c>
      <c r="AC157" s="82" t="str">
        <f>_xll.BLUEMATRIX2("/servlet/excelData",O157,$B$1,$B157&amp;":"&amp;O$115&amp;":"&amp;$R$114)</f>
        <v>#</v>
      </c>
      <c r="AD157" s="82" t="str">
        <f>_xll.BLUEMATRIX2("/servlet/excelData",P157,$B$1,$B157&amp;":"&amp;P$115&amp;":"&amp;$R$114)</f>
        <v>#</v>
      </c>
      <c r="AE157" s="82" t="str">
        <f>_xll.BLUEMATRIX2("/servlet/excelData",Q157,$B$1,$B157&amp;":"&amp;Q$115&amp;":"&amp;$R$114)</f>
        <v>#</v>
      </c>
    </row>
    <row r="158" spans="1:31" ht="12.95" customHeight="1" x14ac:dyDescent="0.2">
      <c r="A158" s="109" t="s">
        <v>673</v>
      </c>
      <c r="B158" s="29" t="s">
        <v>674</v>
      </c>
      <c r="C158" s="110" t="s">
        <v>675</v>
      </c>
      <c r="D158" s="111"/>
      <c r="E158" s="111"/>
      <c r="F158" s="111"/>
      <c r="G158" s="111"/>
      <c r="H158" s="111"/>
      <c r="I158" s="111"/>
      <c r="J158" s="111"/>
      <c r="K158" s="111"/>
      <c r="L158" s="111"/>
      <c r="M158" s="111"/>
      <c r="N158" s="111"/>
      <c r="O158" s="111"/>
      <c r="P158" s="111"/>
      <c r="Q158" s="111"/>
      <c r="R158" s="1"/>
      <c r="S158" s="82" t="str">
        <f>_xll.BLUEMATRIX2("/servlet/excelData",E158,$B$1,$B158&amp;":"&amp;E$115&amp;":"&amp;$R$114)</f>
        <v>#</v>
      </c>
      <c r="T158" s="82" t="str">
        <f>_xll.BLUEMATRIX2("/servlet/excelData",F158,$B$1,$B158&amp;":"&amp;F$115&amp;":"&amp;$R$114)</f>
        <v>#</v>
      </c>
      <c r="U158" s="82" t="str">
        <f>_xll.BLUEMATRIX2("/servlet/excelData",G158,$B$1,$B158&amp;":"&amp;G$115&amp;":"&amp;$R$114)</f>
        <v>#</v>
      </c>
      <c r="V158" s="82" t="str">
        <f>_xll.BLUEMATRIX2("/servlet/excelData",H158,$B$1,$B158&amp;":"&amp;H$115&amp;":"&amp;$R$114)</f>
        <v>#</v>
      </c>
      <c r="W158" s="82" t="str">
        <f>_xll.BLUEMATRIX2("/servlet/excelData",I158,$B$1,$B158&amp;":"&amp;I$115&amp;":"&amp;$R$114)</f>
        <v>#</v>
      </c>
      <c r="X158" s="82" t="str">
        <f>_xll.BLUEMATRIX2("/servlet/excelData",J158,$B$1,$B158&amp;":"&amp;J$115&amp;":"&amp;$R$114)</f>
        <v>#</v>
      </c>
      <c r="Y158" s="82" t="str">
        <f>_xll.BLUEMATRIX2("/servlet/excelData",K158,$B$1,$B158&amp;":"&amp;K$115&amp;":"&amp;$R$114)</f>
        <v>#</v>
      </c>
      <c r="Z158" s="82" t="str">
        <f>_xll.BLUEMATRIX2("/servlet/excelData",L158,$B$1,$B158&amp;":"&amp;L$115&amp;":"&amp;$R$114)</f>
        <v>#</v>
      </c>
      <c r="AA158" s="82" t="str">
        <f>_xll.BLUEMATRIX2("/servlet/excelData",M158,$B$1,$B158&amp;":"&amp;M$115&amp;":"&amp;$R$114)</f>
        <v>#</v>
      </c>
      <c r="AB158" s="82" t="str">
        <f>_xll.BLUEMATRIX2("/servlet/excelData",N158,$B$1,$B158&amp;":"&amp;N$115&amp;":"&amp;$R$114)</f>
        <v>#</v>
      </c>
      <c r="AC158" s="82" t="str">
        <f>_xll.BLUEMATRIX2("/servlet/excelData",O158,$B$1,$B158&amp;":"&amp;O$115&amp;":"&amp;$R$114)</f>
        <v>#</v>
      </c>
      <c r="AD158" s="82" t="str">
        <f>_xll.BLUEMATRIX2("/servlet/excelData",P158,$B$1,$B158&amp;":"&amp;P$115&amp;":"&amp;$R$114)</f>
        <v>#</v>
      </c>
      <c r="AE158" s="82" t="str">
        <f>_xll.BLUEMATRIX2("/servlet/excelData",Q158,$B$1,$B158&amp;":"&amp;Q$115&amp;":"&amp;$R$114)</f>
        <v>#</v>
      </c>
    </row>
    <row r="159" spans="1:31" ht="12.95" customHeight="1" x14ac:dyDescent="0.2">
      <c r="A159" s="109" t="s">
        <v>676</v>
      </c>
      <c r="B159" s="29" t="s">
        <v>677</v>
      </c>
      <c r="C159" s="120" t="s">
        <v>678</v>
      </c>
      <c r="D159" s="119"/>
      <c r="E159" s="485"/>
      <c r="F159" s="485">
        <f>FY!F77</f>
        <v>0</v>
      </c>
      <c r="G159" s="485">
        <f>FY!G77</f>
        <v>0</v>
      </c>
      <c r="H159" s="485">
        <f>FY!H77</f>
        <v>-2.9000000000000004</v>
      </c>
      <c r="I159" s="485">
        <f>FY!I77</f>
        <v>-0.80000000000000016</v>
      </c>
      <c r="J159" s="485">
        <f>FY!J77</f>
        <v>-1.131516295836928</v>
      </c>
      <c r="K159" s="485">
        <f>FY!K77</f>
        <v>-2.0722527452691315</v>
      </c>
      <c r="L159" s="485">
        <f>FY!L77</f>
        <v>-2.9181680516125295</v>
      </c>
      <c r="M159" s="485">
        <f>FY!M77</f>
        <v>-2.7145078603249502</v>
      </c>
      <c r="N159" s="485">
        <f>FY!N77</f>
        <v>-2.4678318960215213</v>
      </c>
      <c r="O159" s="485">
        <f>FY!O77</f>
        <v>-2.199879652318053</v>
      </c>
      <c r="P159" s="485">
        <f>FY!P77</f>
        <v>-1.9029678381200241</v>
      </c>
      <c r="Q159" s="485">
        <f>FY!Q77</f>
        <v>-1.5930165882717675</v>
      </c>
      <c r="R159" s="1"/>
      <c r="S159" s="82" t="str">
        <f>_xll.BLUEMATRIX2("/servlet/excelData",E159,$B$1,$B159&amp;":"&amp;E$115&amp;":"&amp;$R$114)</f>
        <v>#</v>
      </c>
      <c r="T159" s="82" t="str">
        <f>_xll.BLUEMATRIX2("/servlet/excelData",F159,$B$1,$B159&amp;":"&amp;F$115&amp;":"&amp;$R$114)</f>
        <v>#</v>
      </c>
      <c r="U159" s="82" t="str">
        <f>_xll.BLUEMATRIX2("/servlet/excelData",G159,$B$1,$B159&amp;":"&amp;G$115&amp;":"&amp;$R$114)</f>
        <v>#</v>
      </c>
      <c r="V159" s="82" t="str">
        <f>_xll.BLUEMATRIX2("/servlet/excelData",H159,$B$1,$B159&amp;":"&amp;H$115&amp;":"&amp;$R$114)</f>
        <v>#</v>
      </c>
      <c r="W159" s="82" t="str">
        <f>_xll.BLUEMATRIX2("/servlet/excelData",I159,$B$1,$B159&amp;":"&amp;I$115&amp;":"&amp;$R$114)</f>
        <v>#</v>
      </c>
      <c r="X159" s="82" t="str">
        <f>_xll.BLUEMATRIX2("/servlet/excelData",J159,$B$1,$B159&amp;":"&amp;J$115&amp;":"&amp;$R$114)</f>
        <v>#</v>
      </c>
      <c r="Y159" s="82" t="str">
        <f>_xll.BLUEMATRIX2("/servlet/excelData",K159,$B$1,$B159&amp;":"&amp;K$115&amp;":"&amp;$R$114)</f>
        <v>#</v>
      </c>
      <c r="Z159" s="82" t="str">
        <f>_xll.BLUEMATRIX2("/servlet/excelData",L159,$B$1,$B159&amp;":"&amp;L$115&amp;":"&amp;$R$114)</f>
        <v>#</v>
      </c>
      <c r="AA159" s="82" t="str">
        <f>_xll.BLUEMATRIX2("/servlet/excelData",M159,$B$1,$B159&amp;":"&amp;M$115&amp;":"&amp;$R$114)</f>
        <v>#</v>
      </c>
      <c r="AB159" s="82" t="str">
        <f>_xll.BLUEMATRIX2("/servlet/excelData",N159,$B$1,$B159&amp;":"&amp;N$115&amp;":"&amp;$R$114)</f>
        <v>#</v>
      </c>
      <c r="AC159" s="82" t="str">
        <f>_xll.BLUEMATRIX2("/servlet/excelData",O159,$B$1,$B159&amp;":"&amp;O$115&amp;":"&amp;$R$114)</f>
        <v>#</v>
      </c>
      <c r="AD159" s="82" t="str">
        <f>_xll.BLUEMATRIX2("/servlet/excelData",P159,$B$1,$B159&amp;":"&amp;P$115&amp;":"&amp;$R$114)</f>
        <v>#</v>
      </c>
      <c r="AE159" s="82" t="str">
        <f>_xll.BLUEMATRIX2("/servlet/excelData",Q159,$B$1,$B159&amp;":"&amp;Q$115&amp;":"&amp;$R$114)</f>
        <v>#</v>
      </c>
    </row>
    <row r="160" spans="1:31" ht="12.95" customHeight="1" x14ac:dyDescent="0.2">
      <c r="A160" s="109" t="s">
        <v>679</v>
      </c>
      <c r="B160" s="29" t="s">
        <v>680</v>
      </c>
      <c r="C160" s="110" t="s">
        <v>681</v>
      </c>
      <c r="D160" s="111"/>
      <c r="E160" s="111"/>
      <c r="F160" s="111"/>
      <c r="G160" s="111"/>
      <c r="H160" s="111"/>
      <c r="I160" s="111"/>
      <c r="J160" s="111"/>
      <c r="K160" s="111"/>
      <c r="L160" s="111"/>
      <c r="M160" s="111"/>
      <c r="N160" s="111"/>
      <c r="O160" s="111"/>
      <c r="P160" s="111"/>
      <c r="Q160" s="111"/>
      <c r="R160" s="1"/>
      <c r="S160" s="82" t="str">
        <f>_xll.BLUEMATRIX2("/servlet/excelData",E160,$B$1,$B160&amp;":"&amp;E$115&amp;":"&amp;$R$114)</f>
        <v>#</v>
      </c>
      <c r="T160" s="82" t="str">
        <f>_xll.BLUEMATRIX2("/servlet/excelData",F160,$B$1,$B160&amp;":"&amp;F$115&amp;":"&amp;$R$114)</f>
        <v>#</v>
      </c>
      <c r="U160" s="82" t="str">
        <f>_xll.BLUEMATRIX2("/servlet/excelData",G160,$B$1,$B160&amp;":"&amp;G$115&amp;":"&amp;$R$114)</f>
        <v>#</v>
      </c>
      <c r="V160" s="82" t="str">
        <f>_xll.BLUEMATRIX2("/servlet/excelData",H160,$B$1,$B160&amp;":"&amp;H$115&amp;":"&amp;$R$114)</f>
        <v>#</v>
      </c>
      <c r="W160" s="82" t="str">
        <f>_xll.BLUEMATRIX2("/servlet/excelData",I160,$B$1,$B160&amp;":"&amp;I$115&amp;":"&amp;$R$114)</f>
        <v>#</v>
      </c>
      <c r="X160" s="82" t="str">
        <f>_xll.BLUEMATRIX2("/servlet/excelData",J160,$B$1,$B160&amp;":"&amp;J$115&amp;":"&amp;$R$114)</f>
        <v>#</v>
      </c>
      <c r="Y160" s="82" t="str">
        <f>_xll.BLUEMATRIX2("/servlet/excelData",K160,$B$1,$B160&amp;":"&amp;K$115&amp;":"&amp;$R$114)</f>
        <v>#</v>
      </c>
      <c r="Z160" s="82" t="str">
        <f>_xll.BLUEMATRIX2("/servlet/excelData",L160,$B$1,$B160&amp;":"&amp;L$115&amp;":"&amp;$R$114)</f>
        <v>#</v>
      </c>
      <c r="AA160" s="82" t="str">
        <f>_xll.BLUEMATRIX2("/servlet/excelData",M160,$B$1,$B160&amp;":"&amp;M$115&amp;":"&amp;$R$114)</f>
        <v>#</v>
      </c>
      <c r="AB160" s="82" t="str">
        <f>_xll.BLUEMATRIX2("/servlet/excelData",N160,$B$1,$B160&amp;":"&amp;N$115&amp;":"&amp;$R$114)</f>
        <v>#</v>
      </c>
      <c r="AC160" s="82" t="str">
        <f>_xll.BLUEMATRIX2("/servlet/excelData",O160,$B$1,$B160&amp;":"&amp;O$115&amp;":"&amp;$R$114)</f>
        <v>#</v>
      </c>
      <c r="AD160" s="82" t="str">
        <f>_xll.BLUEMATRIX2("/servlet/excelData",P160,$B$1,$B160&amp;":"&amp;P$115&amp;":"&amp;$R$114)</f>
        <v>#</v>
      </c>
      <c r="AE160" s="82" t="str">
        <f>_xll.BLUEMATRIX2("/servlet/excelData",Q160,$B$1,$B160&amp;":"&amp;Q$115&amp;":"&amp;$R$114)</f>
        <v>#</v>
      </c>
    </row>
    <row r="161" spans="1:31" ht="12.95" customHeight="1" x14ac:dyDescent="0.2">
      <c r="A161" s="115" t="s">
        <v>682</v>
      </c>
      <c r="B161" s="29" t="s">
        <v>683</v>
      </c>
      <c r="C161" s="110" t="s">
        <v>684</v>
      </c>
      <c r="D161" s="111"/>
      <c r="E161" s="483"/>
      <c r="F161" s="483"/>
      <c r="G161" s="483"/>
      <c r="H161" s="483"/>
      <c r="I161" s="483"/>
      <c r="J161" s="483"/>
      <c r="K161" s="483"/>
      <c r="L161" s="483"/>
      <c r="M161" s="483"/>
      <c r="N161" s="483"/>
      <c r="O161" s="483"/>
      <c r="P161" s="483"/>
      <c r="Q161" s="483"/>
      <c r="R161" s="1"/>
      <c r="S161" s="82" t="str">
        <f>_xll.BLUEMATRIX2("/servlet/excelData",E161,$B$1,$B161&amp;":"&amp;E$115&amp;":"&amp;$R$114)</f>
        <v>#</v>
      </c>
      <c r="T161" s="82" t="str">
        <f>_xll.BLUEMATRIX2("/servlet/excelData",F161,$B$1,$B161&amp;":"&amp;F$115&amp;":"&amp;$R$114)</f>
        <v>#</v>
      </c>
      <c r="U161" s="82" t="str">
        <f>_xll.BLUEMATRIX2("/servlet/excelData",G161,$B$1,$B161&amp;":"&amp;G$115&amp;":"&amp;$R$114)</f>
        <v>#</v>
      </c>
      <c r="V161" s="82" t="str">
        <f>_xll.BLUEMATRIX2("/servlet/excelData",H161,$B$1,$B161&amp;":"&amp;H$115&amp;":"&amp;$R$114)</f>
        <v>#</v>
      </c>
      <c r="W161" s="82" t="str">
        <f>_xll.BLUEMATRIX2("/servlet/excelData",I161,$B$1,$B161&amp;":"&amp;I$115&amp;":"&amp;$R$114)</f>
        <v>#</v>
      </c>
      <c r="X161" s="82" t="str">
        <f>_xll.BLUEMATRIX2("/servlet/excelData",J161,$B$1,$B161&amp;":"&amp;J$115&amp;":"&amp;$R$114)</f>
        <v>#</v>
      </c>
      <c r="Y161" s="82" t="str">
        <f>_xll.BLUEMATRIX2("/servlet/excelData",K161,$B$1,$B161&amp;":"&amp;K$115&amp;":"&amp;$R$114)</f>
        <v>#</v>
      </c>
      <c r="Z161" s="82" t="str">
        <f>_xll.BLUEMATRIX2("/servlet/excelData",L161,$B$1,$B161&amp;":"&amp;L$115&amp;":"&amp;$R$114)</f>
        <v>#</v>
      </c>
      <c r="AA161" s="82" t="str">
        <f>_xll.BLUEMATRIX2("/servlet/excelData",M161,$B$1,$B161&amp;":"&amp;M$115&amp;":"&amp;$R$114)</f>
        <v>#</v>
      </c>
      <c r="AB161" s="82" t="str">
        <f>_xll.BLUEMATRIX2("/servlet/excelData",N161,$B$1,$B161&amp;":"&amp;N$115&amp;":"&amp;$R$114)</f>
        <v>#</v>
      </c>
      <c r="AC161" s="82" t="str">
        <f>_xll.BLUEMATRIX2("/servlet/excelData",O161,$B$1,$B161&amp;":"&amp;O$115&amp;":"&amp;$R$114)</f>
        <v>#</v>
      </c>
      <c r="AD161" s="82" t="str">
        <f>_xll.BLUEMATRIX2("/servlet/excelData",P161,$B$1,$B161&amp;":"&amp;P$115&amp;":"&amp;$R$114)</f>
        <v>#</v>
      </c>
      <c r="AE161" s="82" t="str">
        <f>_xll.BLUEMATRIX2("/servlet/excelData",Q161,$B$1,$B161&amp;":"&amp;Q$115&amp;":"&amp;$R$114)</f>
        <v>#</v>
      </c>
    </row>
    <row r="162" spans="1:31" ht="12.95" customHeight="1" x14ac:dyDescent="0.2">
      <c r="A162" s="109" t="s">
        <v>685</v>
      </c>
      <c r="B162" s="29" t="s">
        <v>686</v>
      </c>
      <c r="C162" s="113" t="s">
        <v>686</v>
      </c>
      <c r="D162" s="114"/>
      <c r="E162" s="114"/>
      <c r="F162" s="114">
        <f t="shared" ref="F162:Q162" si="12">F156+F159+F160+F161</f>
        <v>0</v>
      </c>
      <c r="G162" s="114">
        <f t="shared" si="12"/>
        <v>0</v>
      </c>
      <c r="H162" s="114">
        <f t="shared" si="12"/>
        <v>0.20000000000000018</v>
      </c>
      <c r="I162" s="114">
        <f t="shared" si="12"/>
        <v>-20.8</v>
      </c>
      <c r="J162" s="114">
        <f t="shared" si="12"/>
        <v>5.1704407628144864</v>
      </c>
      <c r="K162" s="114">
        <f t="shared" si="12"/>
        <v>9.341378994384435</v>
      </c>
      <c r="L162" s="114">
        <f t="shared" si="12"/>
        <v>12.34415024337034</v>
      </c>
      <c r="M162" s="114">
        <f t="shared" si="12"/>
        <v>15.303982385102078</v>
      </c>
      <c r="N162" s="114">
        <f t="shared" si="12"/>
        <v>18.027314992816528</v>
      </c>
      <c r="O162" s="114">
        <f t="shared" si="12"/>
        <v>19.689674170900698</v>
      </c>
      <c r="P162" s="114">
        <f t="shared" si="12"/>
        <v>21.377811025667299</v>
      </c>
      <c r="Q162" s="114">
        <f t="shared" si="12"/>
        <v>23.090725990885247</v>
      </c>
      <c r="R162" s="1"/>
      <c r="S162" s="82" t="str">
        <f>_xll.BLUEMATRIX2("/servlet/excelData",E162,$B$1,$B162&amp;":"&amp;E$115&amp;":"&amp;$R$114)</f>
        <v>#</v>
      </c>
      <c r="T162" s="82" t="str">
        <f>_xll.BLUEMATRIX2("/servlet/excelData",F162,$B$1,$B162&amp;":"&amp;F$115&amp;":"&amp;$R$114)</f>
        <v>#</v>
      </c>
      <c r="U162" s="82" t="str">
        <f>_xll.BLUEMATRIX2("/servlet/excelData",G162,$B$1,$B162&amp;":"&amp;G$115&amp;":"&amp;$R$114)</f>
        <v>#</v>
      </c>
      <c r="V162" s="82" t="str">
        <f>_xll.BLUEMATRIX2("/servlet/excelData",H162,$B$1,$B162&amp;":"&amp;H$115&amp;":"&amp;$R$114)</f>
        <v>#</v>
      </c>
      <c r="W162" s="82" t="str">
        <f>_xll.BLUEMATRIX2("/servlet/excelData",I162,$B$1,$B162&amp;":"&amp;I$115&amp;":"&amp;$R$114)</f>
        <v>#</v>
      </c>
      <c r="X162" s="82" t="str">
        <f>_xll.BLUEMATRIX2("/servlet/excelData",J162,$B$1,$B162&amp;":"&amp;J$115&amp;":"&amp;$R$114)</f>
        <v>#</v>
      </c>
      <c r="Y162" s="82" t="str">
        <f>_xll.BLUEMATRIX2("/servlet/excelData",K162,$B$1,$B162&amp;":"&amp;K$115&amp;":"&amp;$R$114)</f>
        <v>#</v>
      </c>
      <c r="Z162" s="82" t="str">
        <f>_xll.BLUEMATRIX2("/servlet/excelData",L162,$B$1,$B162&amp;":"&amp;L$115&amp;":"&amp;$R$114)</f>
        <v>#</v>
      </c>
      <c r="AA162" s="82" t="str">
        <f>_xll.BLUEMATRIX2("/servlet/excelData",M162,$B$1,$B162&amp;":"&amp;M$115&amp;":"&amp;$R$114)</f>
        <v>#</v>
      </c>
      <c r="AB162" s="82" t="str">
        <f>_xll.BLUEMATRIX2("/servlet/excelData",N162,$B$1,$B162&amp;":"&amp;N$115&amp;":"&amp;$R$114)</f>
        <v>#</v>
      </c>
      <c r="AC162" s="82" t="str">
        <f>_xll.BLUEMATRIX2("/servlet/excelData",O162,$B$1,$B162&amp;":"&amp;O$115&amp;":"&amp;$R$114)</f>
        <v>#</v>
      </c>
      <c r="AD162" s="82" t="str">
        <f>_xll.BLUEMATRIX2("/servlet/excelData",P162,$B$1,$B162&amp;":"&amp;P$115&amp;":"&amp;$R$114)</f>
        <v>#</v>
      </c>
      <c r="AE162" s="82" t="str">
        <f>_xll.BLUEMATRIX2("/servlet/excelData",Q162,$B$1,$B162&amp;":"&amp;Q$115&amp;":"&amp;$R$114)</f>
        <v>#</v>
      </c>
    </row>
    <row r="163" spans="1:31" ht="12.95" customHeight="1" x14ac:dyDescent="0.2">
      <c r="A163" s="109" t="s">
        <v>687</v>
      </c>
      <c r="B163" s="29" t="s">
        <v>688</v>
      </c>
      <c r="C163" s="110" t="s">
        <v>689</v>
      </c>
      <c r="D163" s="111"/>
      <c r="E163" s="483"/>
      <c r="F163" s="483">
        <f>FY!F133</f>
        <v>0</v>
      </c>
      <c r="G163" s="483">
        <f>FY!G133</f>
        <v>0</v>
      </c>
      <c r="H163" s="483">
        <f>FY!H80</f>
        <v>4.5999999999999996</v>
      </c>
      <c r="I163" s="483">
        <f>FY!I80</f>
        <v>0.1</v>
      </c>
      <c r="J163" s="483">
        <f>FY!J80</f>
        <v>-1.5511322288443461</v>
      </c>
      <c r="K163" s="483">
        <f>FY!K80</f>
        <v>-2.80241369831533</v>
      </c>
      <c r="L163" s="483">
        <f>FY!L80</f>
        <v>-3.7032450730111011</v>
      </c>
      <c r="M163" s="483">
        <f>FY!M80</f>
        <v>-4.591194715530623</v>
      </c>
      <c r="N163" s="483">
        <f>FY!N80</f>
        <v>-5.408194497844959</v>
      </c>
      <c r="O163" s="483">
        <f>FY!O80</f>
        <v>-5.9069022512702105</v>
      </c>
      <c r="P163" s="483">
        <f>FY!P80</f>
        <v>-6.41334330770019</v>
      </c>
      <c r="Q163" s="483">
        <f>FY!Q80</f>
        <v>-6.9272177972655733</v>
      </c>
      <c r="R163" s="1"/>
      <c r="S163" s="82" t="str">
        <f>_xll.BLUEMATRIX2("/servlet/excelData",E163,$B$1,$B163&amp;":"&amp;E$115&amp;":"&amp;$R$114)</f>
        <v>#</v>
      </c>
      <c r="T163" s="82" t="str">
        <f>_xll.BLUEMATRIX2("/servlet/excelData",F163,$B$1,$B163&amp;":"&amp;F$115&amp;":"&amp;$R$114)</f>
        <v>#</v>
      </c>
      <c r="U163" s="82" t="str">
        <f>_xll.BLUEMATRIX2("/servlet/excelData",G163,$B$1,$B163&amp;":"&amp;G$115&amp;":"&amp;$R$114)</f>
        <v>#</v>
      </c>
      <c r="V163" s="82" t="str">
        <f>_xll.BLUEMATRIX2("/servlet/excelData",H163,$B$1,$B163&amp;":"&amp;H$115&amp;":"&amp;$R$114)</f>
        <v>#</v>
      </c>
      <c r="W163" s="82" t="str">
        <f>_xll.BLUEMATRIX2("/servlet/excelData",I163,$B$1,$B163&amp;":"&amp;I$115&amp;":"&amp;$R$114)</f>
        <v>#</v>
      </c>
      <c r="X163" s="82" t="str">
        <f>_xll.BLUEMATRIX2("/servlet/excelData",J163,$B$1,$B163&amp;":"&amp;J$115&amp;":"&amp;$R$114)</f>
        <v>#</v>
      </c>
      <c r="Y163" s="82" t="str">
        <f>_xll.BLUEMATRIX2("/servlet/excelData",K163,$B$1,$B163&amp;":"&amp;K$115&amp;":"&amp;$R$114)</f>
        <v>#</v>
      </c>
      <c r="Z163" s="82" t="str">
        <f>_xll.BLUEMATRIX2("/servlet/excelData",L163,$B$1,$B163&amp;":"&amp;L$115&amp;":"&amp;$R$114)</f>
        <v>#</v>
      </c>
      <c r="AA163" s="82" t="str">
        <f>_xll.BLUEMATRIX2("/servlet/excelData",M163,$B$1,$B163&amp;":"&amp;M$115&amp;":"&amp;$R$114)</f>
        <v>#</v>
      </c>
      <c r="AB163" s="82" t="str">
        <f>_xll.BLUEMATRIX2("/servlet/excelData",N163,$B$1,$B163&amp;":"&amp;N$115&amp;":"&amp;$R$114)</f>
        <v>#</v>
      </c>
      <c r="AC163" s="82" t="str">
        <f>_xll.BLUEMATRIX2("/servlet/excelData",O163,$B$1,$B163&amp;":"&amp;O$115&amp;":"&amp;$R$114)</f>
        <v>#</v>
      </c>
      <c r="AD163" s="82" t="str">
        <f>_xll.BLUEMATRIX2("/servlet/excelData",P163,$B$1,$B163&amp;":"&amp;P$115&amp;":"&amp;$R$114)</f>
        <v>#</v>
      </c>
      <c r="AE163" s="82" t="str">
        <f>_xll.BLUEMATRIX2("/servlet/excelData",Q163,$B$1,$B163&amp;":"&amp;Q$115&amp;":"&amp;$R$114)</f>
        <v>#</v>
      </c>
    </row>
    <row r="164" spans="1:31" ht="12.95" customHeight="1" x14ac:dyDescent="0.2">
      <c r="A164" s="109" t="s">
        <v>690</v>
      </c>
      <c r="B164" s="29" t="s">
        <v>691</v>
      </c>
      <c r="C164" s="110" t="s">
        <v>692</v>
      </c>
      <c r="D164" s="111"/>
      <c r="E164" s="111"/>
      <c r="F164" s="111"/>
      <c r="G164" s="111"/>
      <c r="H164" s="111"/>
      <c r="I164" s="111"/>
      <c r="J164" s="111"/>
      <c r="K164" s="111"/>
      <c r="L164" s="111"/>
      <c r="M164" s="111"/>
      <c r="N164" s="111"/>
      <c r="O164" s="111"/>
      <c r="P164" s="111"/>
      <c r="Q164" s="111"/>
      <c r="R164" s="1"/>
      <c r="S164" s="82" t="str">
        <f>_xll.BLUEMATRIX2("/servlet/excelData",E164,$B$1,$B164&amp;":"&amp;E$115&amp;":"&amp;$R$114)</f>
        <v>#</v>
      </c>
      <c r="T164" s="82" t="str">
        <f>_xll.BLUEMATRIX2("/servlet/excelData",F164,$B$1,$B164&amp;":"&amp;F$115&amp;":"&amp;$R$114)</f>
        <v>#</v>
      </c>
      <c r="U164" s="82" t="str">
        <f>_xll.BLUEMATRIX2("/servlet/excelData",G164,$B$1,$B164&amp;":"&amp;G$115&amp;":"&amp;$R$114)</f>
        <v>#</v>
      </c>
      <c r="V164" s="82" t="str">
        <f>_xll.BLUEMATRIX2("/servlet/excelData",H164,$B$1,$B164&amp;":"&amp;H$115&amp;":"&amp;$R$114)</f>
        <v>#</v>
      </c>
      <c r="W164" s="82" t="str">
        <f>_xll.BLUEMATRIX2("/servlet/excelData",I164,$B$1,$B164&amp;":"&amp;I$115&amp;":"&amp;$R$114)</f>
        <v>#</v>
      </c>
      <c r="X164" s="82" t="str">
        <f>_xll.BLUEMATRIX2("/servlet/excelData",J164,$B$1,$B164&amp;":"&amp;J$115&amp;":"&amp;$R$114)</f>
        <v>#</v>
      </c>
      <c r="Y164" s="82" t="str">
        <f>_xll.BLUEMATRIX2("/servlet/excelData",K164,$B$1,$B164&amp;":"&amp;K$115&amp;":"&amp;$R$114)</f>
        <v>#</v>
      </c>
      <c r="Z164" s="82" t="str">
        <f>_xll.BLUEMATRIX2("/servlet/excelData",L164,$B$1,$B164&amp;":"&amp;L$115&amp;":"&amp;$R$114)</f>
        <v>#</v>
      </c>
      <c r="AA164" s="82" t="str">
        <f>_xll.BLUEMATRIX2("/servlet/excelData",M164,$B$1,$B164&amp;":"&amp;M$115&amp;":"&amp;$R$114)</f>
        <v>#</v>
      </c>
      <c r="AB164" s="82" t="str">
        <f>_xll.BLUEMATRIX2("/servlet/excelData",N164,$B$1,$B164&amp;":"&amp;N$115&amp;":"&amp;$R$114)</f>
        <v>#</v>
      </c>
      <c r="AC164" s="82" t="str">
        <f>_xll.BLUEMATRIX2("/servlet/excelData",O164,$B$1,$B164&amp;":"&amp;O$115&amp;":"&amp;$R$114)</f>
        <v>#</v>
      </c>
      <c r="AD164" s="82" t="str">
        <f>_xll.BLUEMATRIX2("/servlet/excelData",P164,$B$1,$B164&amp;":"&amp;P$115&amp;":"&amp;$R$114)</f>
        <v>#</v>
      </c>
      <c r="AE164" s="82" t="str">
        <f>_xll.BLUEMATRIX2("/servlet/excelData",Q164,$B$1,$B164&amp;":"&amp;Q$115&amp;":"&amp;$R$114)</f>
        <v>#</v>
      </c>
    </row>
    <row r="165" spans="1:31" ht="12.95" customHeight="1" x14ac:dyDescent="0.2">
      <c r="A165" s="109" t="s">
        <v>693</v>
      </c>
      <c r="B165" s="29" t="s">
        <v>694</v>
      </c>
      <c r="C165" s="113" t="s">
        <v>695</v>
      </c>
      <c r="D165" s="114"/>
      <c r="E165" s="114"/>
      <c r="F165" s="114">
        <f t="shared" ref="F165:Q165" si="13">F162+F163+F164</f>
        <v>0</v>
      </c>
      <c r="G165" s="114">
        <f t="shared" si="13"/>
        <v>0</v>
      </c>
      <c r="H165" s="114">
        <f t="shared" si="13"/>
        <v>4.8</v>
      </c>
      <c r="I165" s="114">
        <f t="shared" si="13"/>
        <v>-20.7</v>
      </c>
      <c r="J165" s="114">
        <f t="shared" si="13"/>
        <v>3.6193085339701403</v>
      </c>
      <c r="K165" s="114">
        <f t="shared" si="13"/>
        <v>6.5389652960691045</v>
      </c>
      <c r="L165" s="114">
        <f t="shared" si="13"/>
        <v>8.6409051703592397</v>
      </c>
      <c r="M165" s="114">
        <f t="shared" si="13"/>
        <v>10.712787669571455</v>
      </c>
      <c r="N165" s="114">
        <f t="shared" si="13"/>
        <v>12.619120494971568</v>
      </c>
      <c r="O165" s="114">
        <f t="shared" si="13"/>
        <v>13.782771919630488</v>
      </c>
      <c r="P165" s="114">
        <f t="shared" si="13"/>
        <v>14.964467717967109</v>
      </c>
      <c r="Q165" s="114">
        <f t="shared" si="13"/>
        <v>16.163508193619673</v>
      </c>
      <c r="R165" s="1"/>
      <c r="S165" s="82" t="str">
        <f>_xll.BLUEMATRIX2("/servlet/excelData",E165,$B$1,$B165&amp;":"&amp;E$115&amp;":"&amp;$R$114)</f>
        <v>#</v>
      </c>
      <c r="T165" s="82" t="str">
        <f>_xll.BLUEMATRIX2("/servlet/excelData",F165,$B$1,$B165&amp;":"&amp;F$115&amp;":"&amp;$R$114)</f>
        <v>#</v>
      </c>
      <c r="U165" s="82" t="str">
        <f>_xll.BLUEMATRIX2("/servlet/excelData",G165,$B$1,$B165&amp;":"&amp;G$115&amp;":"&amp;$R$114)</f>
        <v>#</v>
      </c>
      <c r="V165" s="82" t="str">
        <f>_xll.BLUEMATRIX2("/servlet/excelData",H165,$B$1,$B165&amp;":"&amp;H$115&amp;":"&amp;$R$114)</f>
        <v>#</v>
      </c>
      <c r="W165" s="82" t="str">
        <f>_xll.BLUEMATRIX2("/servlet/excelData",I165,$B$1,$B165&amp;":"&amp;I$115&amp;":"&amp;$R$114)</f>
        <v>#</v>
      </c>
      <c r="X165" s="82" t="str">
        <f>_xll.BLUEMATRIX2("/servlet/excelData",J165,$B$1,$B165&amp;":"&amp;J$115&amp;":"&amp;$R$114)</f>
        <v>#</v>
      </c>
      <c r="Y165" s="82" t="str">
        <f>_xll.BLUEMATRIX2("/servlet/excelData",K165,$B$1,$B165&amp;":"&amp;K$115&amp;":"&amp;$R$114)</f>
        <v>#</v>
      </c>
      <c r="Z165" s="82" t="str">
        <f>_xll.BLUEMATRIX2("/servlet/excelData",L165,$B$1,$B165&amp;":"&amp;L$115&amp;":"&amp;$R$114)</f>
        <v>#</v>
      </c>
      <c r="AA165" s="82" t="str">
        <f>_xll.BLUEMATRIX2("/servlet/excelData",M165,$B$1,$B165&amp;":"&amp;M$115&amp;":"&amp;$R$114)</f>
        <v>#</v>
      </c>
      <c r="AB165" s="82" t="str">
        <f>_xll.BLUEMATRIX2("/servlet/excelData",N165,$B$1,$B165&amp;":"&amp;N$115&amp;":"&amp;$R$114)</f>
        <v>#</v>
      </c>
      <c r="AC165" s="82" t="str">
        <f>_xll.BLUEMATRIX2("/servlet/excelData",O165,$B$1,$B165&amp;":"&amp;O$115&amp;":"&amp;$R$114)</f>
        <v>#</v>
      </c>
      <c r="AD165" s="82" t="str">
        <f>_xll.BLUEMATRIX2("/servlet/excelData",P165,$B$1,$B165&amp;":"&amp;P$115&amp;":"&amp;$R$114)</f>
        <v>#</v>
      </c>
      <c r="AE165" s="82" t="str">
        <f>_xll.BLUEMATRIX2("/servlet/excelData",Q165,$B$1,$B165&amp;":"&amp;Q$115&amp;":"&amp;$R$114)</f>
        <v>#</v>
      </c>
    </row>
    <row r="166" spans="1:31" ht="12.95" customHeight="1" x14ac:dyDescent="0.2">
      <c r="A166" s="109" t="s">
        <v>696</v>
      </c>
      <c r="B166" s="29" t="s">
        <v>697</v>
      </c>
      <c r="C166" s="110" t="s">
        <v>698</v>
      </c>
      <c r="D166" s="111"/>
      <c r="E166" s="111"/>
      <c r="F166" s="111"/>
      <c r="G166" s="111"/>
      <c r="H166" s="111"/>
      <c r="I166" s="111"/>
      <c r="J166" s="111"/>
      <c r="K166" s="111"/>
      <c r="L166" s="111"/>
      <c r="M166" s="111"/>
      <c r="N166" s="111"/>
      <c r="O166" s="111"/>
      <c r="P166" s="111"/>
      <c r="Q166" s="111"/>
      <c r="R166" s="1"/>
      <c r="S166" s="82" t="str">
        <f>_xll.BLUEMATRIX2("/servlet/excelData",E166,$B$1,$B166&amp;":"&amp;E$115&amp;":"&amp;$R$114)</f>
        <v>#</v>
      </c>
      <c r="T166" s="82" t="str">
        <f>_xll.BLUEMATRIX2("/servlet/excelData",F166,$B$1,$B166&amp;":"&amp;F$115&amp;":"&amp;$R$114)</f>
        <v>#</v>
      </c>
      <c r="U166" s="82" t="str">
        <f>_xll.BLUEMATRIX2("/servlet/excelData",G166,$B$1,$B166&amp;":"&amp;G$115&amp;":"&amp;$R$114)</f>
        <v>#</v>
      </c>
      <c r="V166" s="82" t="str">
        <f>_xll.BLUEMATRIX2("/servlet/excelData",H166,$B$1,$B166&amp;":"&amp;H$115&amp;":"&amp;$R$114)</f>
        <v>#</v>
      </c>
      <c r="W166" s="82" t="str">
        <f>_xll.BLUEMATRIX2("/servlet/excelData",I166,$B$1,$B166&amp;":"&amp;I$115&amp;":"&amp;$R$114)</f>
        <v>#</v>
      </c>
      <c r="X166" s="82" t="str">
        <f>_xll.BLUEMATRIX2("/servlet/excelData",J166,$B$1,$B166&amp;":"&amp;J$115&amp;":"&amp;$R$114)</f>
        <v>#</v>
      </c>
      <c r="Y166" s="82" t="str">
        <f>_xll.BLUEMATRIX2("/servlet/excelData",K166,$B$1,$B166&amp;":"&amp;K$115&amp;":"&amp;$R$114)</f>
        <v>#</v>
      </c>
      <c r="Z166" s="82" t="str">
        <f>_xll.BLUEMATRIX2("/servlet/excelData",L166,$B$1,$B166&amp;":"&amp;L$115&amp;":"&amp;$R$114)</f>
        <v>#</v>
      </c>
      <c r="AA166" s="82" t="str">
        <f>_xll.BLUEMATRIX2("/servlet/excelData",M166,$B$1,$B166&amp;":"&amp;M$115&amp;":"&amp;$R$114)</f>
        <v>#</v>
      </c>
      <c r="AB166" s="82" t="str">
        <f>_xll.BLUEMATRIX2("/servlet/excelData",N166,$B$1,$B166&amp;":"&amp;N$115&amp;":"&amp;$R$114)</f>
        <v>#</v>
      </c>
      <c r="AC166" s="82" t="str">
        <f>_xll.BLUEMATRIX2("/servlet/excelData",O166,$B$1,$B166&amp;":"&amp;O$115&amp;":"&amp;$R$114)</f>
        <v>#</v>
      </c>
      <c r="AD166" s="82" t="str">
        <f>_xll.BLUEMATRIX2("/servlet/excelData",P166,$B$1,$B166&amp;":"&amp;P$115&amp;":"&amp;$R$114)</f>
        <v>#</v>
      </c>
      <c r="AE166" s="82" t="str">
        <f>_xll.BLUEMATRIX2("/servlet/excelData",Q166,$B$1,$B166&amp;":"&amp;Q$115&amp;":"&amp;$R$114)</f>
        <v>#</v>
      </c>
    </row>
    <row r="167" spans="1:31" ht="12.95" customHeight="1" x14ac:dyDescent="0.2">
      <c r="A167" s="109" t="s">
        <v>699</v>
      </c>
      <c r="B167" s="29" t="s">
        <v>700</v>
      </c>
      <c r="C167" s="113" t="s">
        <v>701</v>
      </c>
      <c r="D167" s="114"/>
      <c r="E167" s="114"/>
      <c r="F167" s="114">
        <f t="shared" ref="F167:Q167" si="14">F165+F166</f>
        <v>0</v>
      </c>
      <c r="G167" s="114">
        <f t="shared" si="14"/>
        <v>0</v>
      </c>
      <c r="H167" s="114">
        <f t="shared" si="14"/>
        <v>4.8</v>
      </c>
      <c r="I167" s="114">
        <f t="shared" si="14"/>
        <v>-20.7</v>
      </c>
      <c r="J167" s="114">
        <f t="shared" si="14"/>
        <v>3.6193085339701403</v>
      </c>
      <c r="K167" s="114">
        <f t="shared" si="14"/>
        <v>6.5389652960691045</v>
      </c>
      <c r="L167" s="114">
        <f t="shared" si="14"/>
        <v>8.6409051703592397</v>
      </c>
      <c r="M167" s="114">
        <f t="shared" si="14"/>
        <v>10.712787669571455</v>
      </c>
      <c r="N167" s="114">
        <f t="shared" si="14"/>
        <v>12.619120494971568</v>
      </c>
      <c r="O167" s="114">
        <f t="shared" si="14"/>
        <v>13.782771919630488</v>
      </c>
      <c r="P167" s="114">
        <f t="shared" si="14"/>
        <v>14.964467717967109</v>
      </c>
      <c r="Q167" s="114">
        <f t="shared" si="14"/>
        <v>16.163508193619673</v>
      </c>
      <c r="R167" s="1"/>
      <c r="S167" s="82" t="str">
        <f>_xll.BLUEMATRIX2("/servlet/excelData",E167,$B$1,$B167&amp;":"&amp;E$115&amp;":"&amp;$R$114)</f>
        <v>#</v>
      </c>
      <c r="T167" s="82" t="str">
        <f>_xll.BLUEMATRIX2("/servlet/excelData",F167,$B$1,$B167&amp;":"&amp;F$115&amp;":"&amp;$R$114)</f>
        <v>#</v>
      </c>
      <c r="U167" s="82" t="str">
        <f>_xll.BLUEMATRIX2("/servlet/excelData",G167,$B$1,$B167&amp;":"&amp;G$115&amp;":"&amp;$R$114)</f>
        <v>#</v>
      </c>
      <c r="V167" s="82" t="str">
        <f>_xll.BLUEMATRIX2("/servlet/excelData",H167,$B$1,$B167&amp;":"&amp;H$115&amp;":"&amp;$R$114)</f>
        <v>#</v>
      </c>
      <c r="W167" s="82" t="str">
        <f>_xll.BLUEMATRIX2("/servlet/excelData",I167,$B$1,$B167&amp;":"&amp;I$115&amp;":"&amp;$R$114)</f>
        <v>#</v>
      </c>
      <c r="X167" s="82" t="str">
        <f>_xll.BLUEMATRIX2("/servlet/excelData",J167,$B$1,$B167&amp;":"&amp;J$115&amp;":"&amp;$R$114)</f>
        <v>#</v>
      </c>
      <c r="Y167" s="82" t="str">
        <f>_xll.BLUEMATRIX2("/servlet/excelData",K167,$B$1,$B167&amp;":"&amp;K$115&amp;":"&amp;$R$114)</f>
        <v>#</v>
      </c>
      <c r="Z167" s="82" t="str">
        <f>_xll.BLUEMATRIX2("/servlet/excelData",L167,$B$1,$B167&amp;":"&amp;L$115&amp;":"&amp;$R$114)</f>
        <v>#</v>
      </c>
      <c r="AA167" s="82" t="str">
        <f>_xll.BLUEMATRIX2("/servlet/excelData",M167,$B$1,$B167&amp;":"&amp;M$115&amp;":"&amp;$R$114)</f>
        <v>#</v>
      </c>
      <c r="AB167" s="82" t="str">
        <f>_xll.BLUEMATRIX2("/servlet/excelData",N167,$B$1,$B167&amp;":"&amp;N$115&amp;":"&amp;$R$114)</f>
        <v>#</v>
      </c>
      <c r="AC167" s="82" t="str">
        <f>_xll.BLUEMATRIX2("/servlet/excelData",O167,$B$1,$B167&amp;":"&amp;O$115&amp;":"&amp;$R$114)</f>
        <v>#</v>
      </c>
      <c r="AD167" s="82" t="str">
        <f>_xll.BLUEMATRIX2("/servlet/excelData",P167,$B$1,$B167&amp;":"&amp;P$115&amp;":"&amp;$R$114)</f>
        <v>#</v>
      </c>
      <c r="AE167" s="82" t="str">
        <f>_xll.BLUEMATRIX2("/servlet/excelData",Q167,$B$1,$B167&amp;":"&amp;Q$115&amp;":"&amp;$R$114)</f>
        <v>#</v>
      </c>
    </row>
    <row r="168" spans="1:31" ht="12.95" customHeight="1" x14ac:dyDescent="0.2">
      <c r="A168" s="109" t="s">
        <v>702</v>
      </c>
      <c r="B168" s="29" t="s">
        <v>703</v>
      </c>
      <c r="C168" s="110" t="s">
        <v>704</v>
      </c>
      <c r="D168" s="111"/>
      <c r="E168" s="483"/>
      <c r="F168" s="483"/>
      <c r="G168" s="483"/>
      <c r="H168" s="483"/>
      <c r="I168" s="483"/>
      <c r="J168" s="483"/>
      <c r="K168" s="483"/>
      <c r="L168" s="483"/>
      <c r="M168" s="483"/>
      <c r="N168" s="483"/>
      <c r="O168" s="483"/>
      <c r="P168" s="483"/>
      <c r="Q168" s="483"/>
      <c r="R168" s="1"/>
      <c r="S168" s="82" t="str">
        <f>_xll.BLUEMATRIX2("/servlet/excelData",E168,$B$1,$B168&amp;":"&amp;E$115&amp;":"&amp;$R$114)</f>
        <v>#</v>
      </c>
      <c r="T168" s="82" t="str">
        <f>_xll.BLUEMATRIX2("/servlet/excelData",F168,$B$1,$B168&amp;":"&amp;F$115&amp;":"&amp;$R$114)</f>
        <v>#</v>
      </c>
      <c r="U168" s="82" t="str">
        <f>_xll.BLUEMATRIX2("/servlet/excelData",G168,$B$1,$B168&amp;":"&amp;G$115&amp;":"&amp;$R$114)</f>
        <v>#</v>
      </c>
      <c r="V168" s="82" t="str">
        <f>_xll.BLUEMATRIX2("/servlet/excelData",H168,$B$1,$B168&amp;":"&amp;H$115&amp;":"&amp;$R$114)</f>
        <v>#</v>
      </c>
      <c r="W168" s="82" t="str">
        <f>_xll.BLUEMATRIX2("/servlet/excelData",I168,$B$1,$B168&amp;":"&amp;I$115&amp;":"&amp;$R$114)</f>
        <v>#</v>
      </c>
      <c r="X168" s="82" t="str">
        <f>_xll.BLUEMATRIX2("/servlet/excelData",J168,$B$1,$B168&amp;":"&amp;J$115&amp;":"&amp;$R$114)</f>
        <v>#</v>
      </c>
      <c r="Y168" s="82" t="str">
        <f>_xll.BLUEMATRIX2("/servlet/excelData",K168,$B$1,$B168&amp;":"&amp;K$115&amp;":"&amp;$R$114)</f>
        <v>#</v>
      </c>
      <c r="Z168" s="82" t="str">
        <f>_xll.BLUEMATRIX2("/servlet/excelData",L168,$B$1,$B168&amp;":"&amp;L$115&amp;":"&amp;$R$114)</f>
        <v>#</v>
      </c>
      <c r="AA168" s="82" t="str">
        <f>_xll.BLUEMATRIX2("/servlet/excelData",M168,$B$1,$B168&amp;":"&amp;M$115&amp;":"&amp;$R$114)</f>
        <v>#</v>
      </c>
      <c r="AB168" s="82" t="str">
        <f>_xll.BLUEMATRIX2("/servlet/excelData",N168,$B$1,$B168&amp;":"&amp;N$115&amp;":"&amp;$R$114)</f>
        <v>#</v>
      </c>
      <c r="AC168" s="82" t="str">
        <f>_xll.BLUEMATRIX2("/servlet/excelData",O168,$B$1,$B168&amp;":"&amp;O$115&amp;":"&amp;$R$114)</f>
        <v>#</v>
      </c>
      <c r="AD168" s="82" t="str">
        <f>_xll.BLUEMATRIX2("/servlet/excelData",P168,$B$1,$B168&amp;":"&amp;P$115&amp;":"&amp;$R$114)</f>
        <v>#</v>
      </c>
      <c r="AE168" s="82" t="str">
        <f>_xll.BLUEMATRIX2("/servlet/excelData",Q168,$B$1,$B168&amp;":"&amp;Q$115&amp;":"&amp;$R$114)</f>
        <v>#</v>
      </c>
    </row>
    <row r="169" spans="1:31" ht="12.95" customHeight="1" x14ac:dyDescent="0.2">
      <c r="A169" s="109" t="s">
        <v>705</v>
      </c>
      <c r="B169" s="29" t="s">
        <v>706</v>
      </c>
      <c r="C169" s="113" t="s">
        <v>707</v>
      </c>
      <c r="D169" s="114"/>
      <c r="E169" s="114"/>
      <c r="F169" s="114">
        <f t="shared" ref="F169:Q169" si="15">F167+F168</f>
        <v>0</v>
      </c>
      <c r="G169" s="114">
        <f t="shared" si="15"/>
        <v>0</v>
      </c>
      <c r="H169" s="114">
        <f t="shared" si="15"/>
        <v>4.8</v>
      </c>
      <c r="I169" s="114">
        <f t="shared" si="15"/>
        <v>-20.7</v>
      </c>
      <c r="J169" s="114">
        <f t="shared" si="15"/>
        <v>3.6193085339701403</v>
      </c>
      <c r="K169" s="114">
        <f t="shared" si="15"/>
        <v>6.5389652960691045</v>
      </c>
      <c r="L169" s="114">
        <f t="shared" si="15"/>
        <v>8.6409051703592397</v>
      </c>
      <c r="M169" s="114">
        <f t="shared" si="15"/>
        <v>10.712787669571455</v>
      </c>
      <c r="N169" s="114">
        <f t="shared" si="15"/>
        <v>12.619120494971568</v>
      </c>
      <c r="O169" s="114">
        <f t="shared" si="15"/>
        <v>13.782771919630488</v>
      </c>
      <c r="P169" s="114">
        <f t="shared" si="15"/>
        <v>14.964467717967109</v>
      </c>
      <c r="Q169" s="114">
        <f t="shared" si="15"/>
        <v>16.163508193619673</v>
      </c>
      <c r="R169" s="1"/>
      <c r="S169" s="82" t="str">
        <f>_xll.BLUEMATRIX2("/servlet/excelData",E169,$B$1,$B169&amp;":"&amp;E$115&amp;":"&amp;$R$114)</f>
        <v>#</v>
      </c>
      <c r="T169" s="82" t="str">
        <f>_xll.BLUEMATRIX2("/servlet/excelData",F169,$B$1,$B169&amp;":"&amp;F$115&amp;":"&amp;$R$114)</f>
        <v>#</v>
      </c>
      <c r="U169" s="82" t="str">
        <f>_xll.BLUEMATRIX2("/servlet/excelData",G169,$B$1,$B169&amp;":"&amp;G$115&amp;":"&amp;$R$114)</f>
        <v>#</v>
      </c>
      <c r="V169" s="82" t="str">
        <f>_xll.BLUEMATRIX2("/servlet/excelData",H169,$B$1,$B169&amp;":"&amp;H$115&amp;":"&amp;$R$114)</f>
        <v>#</v>
      </c>
      <c r="W169" s="82" t="str">
        <f>_xll.BLUEMATRIX2("/servlet/excelData",I169,$B$1,$B169&amp;":"&amp;I$115&amp;":"&amp;$R$114)</f>
        <v>#</v>
      </c>
      <c r="X169" s="82" t="str">
        <f>_xll.BLUEMATRIX2("/servlet/excelData",J169,$B$1,$B169&amp;":"&amp;J$115&amp;":"&amp;$R$114)</f>
        <v>#</v>
      </c>
      <c r="Y169" s="82" t="str">
        <f>_xll.BLUEMATRIX2("/servlet/excelData",K169,$B$1,$B169&amp;":"&amp;K$115&amp;":"&amp;$R$114)</f>
        <v>#</v>
      </c>
      <c r="Z169" s="82" t="str">
        <f>_xll.BLUEMATRIX2("/servlet/excelData",L169,$B$1,$B169&amp;":"&amp;L$115&amp;":"&amp;$R$114)</f>
        <v>#</v>
      </c>
      <c r="AA169" s="82" t="str">
        <f>_xll.BLUEMATRIX2("/servlet/excelData",M169,$B$1,$B169&amp;":"&amp;M$115&amp;":"&amp;$R$114)</f>
        <v>#</v>
      </c>
      <c r="AB169" s="82" t="str">
        <f>_xll.BLUEMATRIX2("/servlet/excelData",N169,$B$1,$B169&amp;":"&amp;N$115&amp;":"&amp;$R$114)</f>
        <v>#</v>
      </c>
      <c r="AC169" s="82" t="str">
        <f>_xll.BLUEMATRIX2("/servlet/excelData",O169,$B$1,$B169&amp;":"&amp;O$115&amp;":"&amp;$R$114)</f>
        <v>#</v>
      </c>
      <c r="AD169" s="82" t="str">
        <f>_xll.BLUEMATRIX2("/servlet/excelData",P169,$B$1,$B169&amp;":"&amp;P$115&amp;":"&amp;$R$114)</f>
        <v>#</v>
      </c>
      <c r="AE169" s="82" t="str">
        <f>_xll.BLUEMATRIX2("/servlet/excelData",Q169,$B$1,$B169&amp;":"&amp;Q$115&amp;":"&amp;$R$114)</f>
        <v>#</v>
      </c>
    </row>
    <row r="170" spans="1:31" ht="12.95" customHeight="1" x14ac:dyDescent="0.2">
      <c r="A170" s="109" t="s">
        <v>708</v>
      </c>
      <c r="B170" s="29" t="s">
        <v>709</v>
      </c>
      <c r="C170" s="110" t="s">
        <v>710</v>
      </c>
      <c r="D170" s="111"/>
      <c r="E170" s="483"/>
      <c r="F170" s="483">
        <f>FY!F133</f>
        <v>0</v>
      </c>
      <c r="G170" s="483">
        <f>FY!G133</f>
        <v>0</v>
      </c>
      <c r="H170" s="111"/>
      <c r="I170" s="111"/>
      <c r="J170" s="111"/>
      <c r="K170" s="111"/>
      <c r="L170" s="111"/>
      <c r="M170" s="111"/>
      <c r="N170" s="111"/>
      <c r="O170" s="111"/>
      <c r="P170" s="111"/>
      <c r="Q170" s="111"/>
      <c r="R170" s="1"/>
      <c r="S170" s="82" t="str">
        <f>_xll.BLUEMATRIX2("/servlet/excelData",E170,$B$1,$B170&amp;":"&amp;E$115&amp;":"&amp;$R$114)</f>
        <v>#</v>
      </c>
      <c r="T170" s="82" t="str">
        <f>_xll.BLUEMATRIX2("/servlet/excelData",F170,$B$1,$B170&amp;":"&amp;F$115&amp;":"&amp;$R$114)</f>
        <v>#</v>
      </c>
      <c r="U170" s="82" t="str">
        <f>_xll.BLUEMATRIX2("/servlet/excelData",G170,$B$1,$B170&amp;":"&amp;G$115&amp;":"&amp;$R$114)</f>
        <v>#</v>
      </c>
      <c r="V170" s="82" t="str">
        <f>_xll.BLUEMATRIX2("/servlet/excelData",H170,$B$1,$B170&amp;":"&amp;H$115&amp;":"&amp;$R$114)</f>
        <v>#</v>
      </c>
      <c r="W170" s="82" t="str">
        <f>_xll.BLUEMATRIX2("/servlet/excelData",I170,$B$1,$B170&amp;":"&amp;I$115&amp;":"&amp;$R$114)</f>
        <v>#</v>
      </c>
      <c r="X170" s="82" t="str">
        <f>_xll.BLUEMATRIX2("/servlet/excelData",J170,$B$1,$B170&amp;":"&amp;J$115&amp;":"&amp;$R$114)</f>
        <v>#</v>
      </c>
      <c r="Y170" s="82" t="str">
        <f>_xll.BLUEMATRIX2("/servlet/excelData",K170,$B$1,$B170&amp;":"&amp;K$115&amp;":"&amp;$R$114)</f>
        <v>#</v>
      </c>
      <c r="Z170" s="82" t="str">
        <f>_xll.BLUEMATRIX2("/servlet/excelData",L170,$B$1,$B170&amp;":"&amp;L$115&amp;":"&amp;$R$114)</f>
        <v>#</v>
      </c>
      <c r="AA170" s="82" t="str">
        <f>_xll.BLUEMATRIX2("/servlet/excelData",M170,$B$1,$B170&amp;":"&amp;M$115&amp;":"&amp;$R$114)</f>
        <v>#</v>
      </c>
      <c r="AB170" s="82" t="str">
        <f>_xll.BLUEMATRIX2("/servlet/excelData",N170,$B$1,$B170&amp;":"&amp;N$115&amp;":"&amp;$R$114)</f>
        <v>#</v>
      </c>
      <c r="AC170" s="82" t="str">
        <f>_xll.BLUEMATRIX2("/servlet/excelData",O170,$B$1,$B170&amp;":"&amp;O$115&amp;":"&amp;$R$114)</f>
        <v>#</v>
      </c>
      <c r="AD170" s="82" t="str">
        <f>_xll.BLUEMATRIX2("/servlet/excelData",P170,$B$1,$B170&amp;":"&amp;P$115&amp;":"&amp;$R$114)</f>
        <v>#</v>
      </c>
      <c r="AE170" s="82" t="str">
        <f>_xll.BLUEMATRIX2("/servlet/excelData",Q170,$B$1,$B170&amp;":"&amp;Q$115&amp;":"&amp;$R$114)</f>
        <v>#</v>
      </c>
    </row>
    <row r="171" spans="1:31" ht="12.95" customHeight="1" x14ac:dyDescent="0.2">
      <c r="A171" s="109" t="s">
        <v>711</v>
      </c>
      <c r="B171" s="29" t="s">
        <v>712</v>
      </c>
      <c r="C171" s="110" t="s">
        <v>713</v>
      </c>
      <c r="D171" s="111"/>
      <c r="E171" s="111"/>
      <c r="F171" s="111"/>
      <c r="G171" s="111"/>
      <c r="H171" s="111">
        <f>FY!H133</f>
        <v>-11.6</v>
      </c>
      <c r="I171" s="111">
        <f>FY!I133</f>
        <v>-19.5</v>
      </c>
      <c r="J171" s="111">
        <f>FY!J133</f>
        <v>-8.6571327683615831</v>
      </c>
      <c r="K171" s="111">
        <f>FY!K133</f>
        <v>-5.5785459154779682</v>
      </c>
      <c r="L171" s="111">
        <f>FY!L133</f>
        <v>-2.2999447141965006</v>
      </c>
      <c r="M171" s="111">
        <f>FY!M133</f>
        <v>-2.3026837243268261</v>
      </c>
      <c r="N171" s="111">
        <f>FY!N133</f>
        <v>-2.339823784396613</v>
      </c>
      <c r="O171" s="111">
        <f>FY!O133</f>
        <v>-2.456814973616444</v>
      </c>
      <c r="P171" s="111">
        <f>FY!P133</f>
        <v>-2.5796557222972663</v>
      </c>
      <c r="Q171" s="111">
        <f>FY!Q133</f>
        <v>-2.7086385084121294</v>
      </c>
      <c r="R171" s="1"/>
      <c r="S171" s="82" t="str">
        <f>_xll.BLUEMATRIX2("/servlet/excelData",E171,$B$1,$B171&amp;":"&amp;E$115&amp;":"&amp;$R$114)</f>
        <v>#</v>
      </c>
      <c r="T171" s="82" t="str">
        <f>_xll.BLUEMATRIX2("/servlet/excelData",F171,$B$1,$B171&amp;":"&amp;F$115&amp;":"&amp;$R$114)</f>
        <v>#</v>
      </c>
      <c r="U171" s="82" t="str">
        <f>_xll.BLUEMATRIX2("/servlet/excelData",G171,$B$1,$B171&amp;":"&amp;G$115&amp;":"&amp;$R$114)</f>
        <v>#</v>
      </c>
      <c r="V171" s="82" t="str">
        <f>_xll.BLUEMATRIX2("/servlet/excelData",H171,$B$1,$B171&amp;":"&amp;H$115&amp;":"&amp;$R$114)</f>
        <v>#</v>
      </c>
      <c r="W171" s="82" t="str">
        <f>_xll.BLUEMATRIX2("/servlet/excelData",I171,$B$1,$B171&amp;":"&amp;I$115&amp;":"&amp;$R$114)</f>
        <v>#</v>
      </c>
      <c r="X171" s="82" t="str">
        <f>_xll.BLUEMATRIX2("/servlet/excelData",J171,$B$1,$B171&amp;":"&amp;J$115&amp;":"&amp;$R$114)</f>
        <v>#</v>
      </c>
      <c r="Y171" s="82" t="str">
        <f>_xll.BLUEMATRIX2("/servlet/excelData",K171,$B$1,$B171&amp;":"&amp;K$115&amp;":"&amp;$R$114)</f>
        <v>#</v>
      </c>
      <c r="Z171" s="82" t="str">
        <f>_xll.BLUEMATRIX2("/servlet/excelData",L171,$B$1,$B171&amp;":"&amp;L$115&amp;":"&amp;$R$114)</f>
        <v>#</v>
      </c>
      <c r="AA171" s="82" t="str">
        <f>_xll.BLUEMATRIX2("/servlet/excelData",M171,$B$1,$B171&amp;":"&amp;M$115&amp;":"&amp;$R$114)</f>
        <v>#</v>
      </c>
      <c r="AB171" s="82" t="str">
        <f>_xll.BLUEMATRIX2("/servlet/excelData",N171,$B$1,$B171&amp;":"&amp;N$115&amp;":"&amp;$R$114)</f>
        <v>#</v>
      </c>
      <c r="AC171" s="82" t="str">
        <f>_xll.BLUEMATRIX2("/servlet/excelData",O171,$B$1,$B171&amp;":"&amp;O$115&amp;":"&amp;$R$114)</f>
        <v>#</v>
      </c>
      <c r="AD171" s="82" t="str">
        <f>_xll.BLUEMATRIX2("/servlet/excelData",P171,$B$1,$B171&amp;":"&amp;P$115&amp;":"&amp;$R$114)</f>
        <v>#</v>
      </c>
      <c r="AE171" s="82" t="str">
        <f>_xll.BLUEMATRIX2("/servlet/excelData",Q171,$B$1,$B171&amp;":"&amp;Q$115&amp;":"&amp;$R$114)</f>
        <v>#</v>
      </c>
    </row>
    <row r="172" spans="1:31" ht="12.95" customHeight="1" x14ac:dyDescent="0.2">
      <c r="A172" s="109" t="s">
        <v>714</v>
      </c>
      <c r="B172" s="29" t="s">
        <v>706</v>
      </c>
      <c r="C172" s="113" t="s">
        <v>715</v>
      </c>
      <c r="D172" s="114"/>
      <c r="E172" s="114"/>
      <c r="F172" s="114">
        <f t="shared" ref="F172:Q172" si="16">F169+F170+F171</f>
        <v>0</v>
      </c>
      <c r="G172" s="114">
        <f t="shared" si="16"/>
        <v>0</v>
      </c>
      <c r="H172" s="114">
        <f t="shared" si="16"/>
        <v>-6.8</v>
      </c>
      <c r="I172" s="114">
        <f t="shared" si="16"/>
        <v>-40.200000000000003</v>
      </c>
      <c r="J172" s="114">
        <f t="shared" si="16"/>
        <v>-5.0378242343914428</v>
      </c>
      <c r="K172" s="114">
        <f t="shared" si="16"/>
        <v>0.9604193805911363</v>
      </c>
      <c r="L172" s="114">
        <f t="shared" si="16"/>
        <v>6.3409604561627386</v>
      </c>
      <c r="M172" s="114">
        <f t="shared" si="16"/>
        <v>8.4101039452446287</v>
      </c>
      <c r="N172" s="114">
        <f t="shared" si="16"/>
        <v>10.279296710574956</v>
      </c>
      <c r="O172" s="114">
        <f t="shared" si="16"/>
        <v>11.325956946014044</v>
      </c>
      <c r="P172" s="114">
        <f t="shared" si="16"/>
        <v>12.384811995669843</v>
      </c>
      <c r="Q172" s="114">
        <f t="shared" si="16"/>
        <v>13.454869685207544</v>
      </c>
      <c r="R172" s="1"/>
      <c r="S172" s="82" t="str">
        <f>_xll.BLUEMATRIX2("/servlet/excelData",E172,$B$1,$B172&amp;":"&amp;E$115&amp;":"&amp;$R$114)</f>
        <v>#</v>
      </c>
      <c r="T172" s="82" t="str">
        <f>_xll.BLUEMATRIX2("/servlet/excelData",F172,$B$1,$B172&amp;":"&amp;F$115&amp;":"&amp;$R$114)</f>
        <v>#</v>
      </c>
      <c r="U172" s="82" t="str">
        <f>_xll.BLUEMATRIX2("/servlet/excelData",G172,$B$1,$B172&amp;":"&amp;G$115&amp;":"&amp;$R$114)</f>
        <v>#</v>
      </c>
      <c r="V172" s="82" t="str">
        <f>_xll.BLUEMATRIX2("/servlet/excelData",H172,$B$1,$B172&amp;":"&amp;H$115&amp;":"&amp;$R$114)</f>
        <v>#</v>
      </c>
      <c r="W172" s="82" t="str">
        <f>_xll.BLUEMATRIX2("/servlet/excelData",I172,$B$1,$B172&amp;":"&amp;I$115&amp;":"&amp;$R$114)</f>
        <v>#</v>
      </c>
      <c r="X172" s="82" t="str">
        <f>_xll.BLUEMATRIX2("/servlet/excelData",J172,$B$1,$B172&amp;":"&amp;J$115&amp;":"&amp;$R$114)</f>
        <v>#</v>
      </c>
      <c r="Y172" s="82" t="str">
        <f>_xll.BLUEMATRIX2("/servlet/excelData",K172,$B$1,$B172&amp;":"&amp;K$115&amp;":"&amp;$R$114)</f>
        <v>#</v>
      </c>
      <c r="Z172" s="82" t="str">
        <f>_xll.BLUEMATRIX2("/servlet/excelData",L172,$B$1,$B172&amp;":"&amp;L$115&amp;":"&amp;$R$114)</f>
        <v>#</v>
      </c>
      <c r="AA172" s="82" t="str">
        <f>_xll.BLUEMATRIX2("/servlet/excelData",M172,$B$1,$B172&amp;":"&amp;M$115&amp;":"&amp;$R$114)</f>
        <v>#</v>
      </c>
      <c r="AB172" s="82" t="str">
        <f>_xll.BLUEMATRIX2("/servlet/excelData",N172,$B$1,$B172&amp;":"&amp;N$115&amp;":"&amp;$R$114)</f>
        <v>#</v>
      </c>
      <c r="AC172" s="82" t="str">
        <f>_xll.BLUEMATRIX2("/servlet/excelData",O172,$B$1,$B172&amp;":"&amp;O$115&amp;":"&amp;$R$114)</f>
        <v>#</v>
      </c>
      <c r="AD172" s="82" t="str">
        <f>_xll.BLUEMATRIX2("/servlet/excelData",P172,$B$1,$B172&amp;":"&amp;P$115&amp;":"&amp;$R$114)</f>
        <v>#</v>
      </c>
      <c r="AE172" s="82" t="str">
        <f>_xll.BLUEMATRIX2("/servlet/excelData",Q172,$B$1,$B172&amp;":"&amp;Q$115&amp;":"&amp;$R$114)</f>
        <v>#</v>
      </c>
    </row>
    <row r="173" spans="1:31" ht="12.95" customHeight="1" x14ac:dyDescent="0.2">
      <c r="A173" s="109" t="s">
        <v>716</v>
      </c>
      <c r="B173" s="29" t="s">
        <v>717</v>
      </c>
      <c r="C173" s="110" t="s">
        <v>718</v>
      </c>
      <c r="D173" s="111"/>
      <c r="E173" s="483"/>
      <c r="F173" s="483"/>
      <c r="G173" s="483"/>
      <c r="H173" s="483"/>
      <c r="I173" s="483"/>
      <c r="J173" s="483"/>
      <c r="K173" s="483"/>
      <c r="L173" s="483"/>
      <c r="M173" s="483"/>
      <c r="N173" s="483"/>
      <c r="O173" s="483"/>
      <c r="P173" s="483"/>
      <c r="Q173" s="483"/>
      <c r="R173" s="1"/>
      <c r="S173" s="82" t="str">
        <f>_xll.BLUEMATRIX2("/servlet/excelData",E173,$B$1,$B173&amp;":"&amp;E$115&amp;":"&amp;$R$114)</f>
        <v>#</v>
      </c>
      <c r="T173" s="82" t="str">
        <f>_xll.BLUEMATRIX2("/servlet/excelData",F173,$B$1,$B173&amp;":"&amp;F$115&amp;":"&amp;$R$114)</f>
        <v>#</v>
      </c>
      <c r="U173" s="82" t="str">
        <f>_xll.BLUEMATRIX2("/servlet/excelData",G173,$B$1,$B173&amp;":"&amp;G$115&amp;":"&amp;$R$114)</f>
        <v>#</v>
      </c>
      <c r="V173" s="82" t="str">
        <f>_xll.BLUEMATRIX2("/servlet/excelData",H173,$B$1,$B173&amp;":"&amp;H$115&amp;":"&amp;$R$114)</f>
        <v>#</v>
      </c>
      <c r="W173" s="82" t="str">
        <f>_xll.BLUEMATRIX2("/servlet/excelData",I173,$B$1,$B173&amp;":"&amp;I$115&amp;":"&amp;$R$114)</f>
        <v>#</v>
      </c>
      <c r="X173" s="82" t="str">
        <f>_xll.BLUEMATRIX2("/servlet/excelData",J173,$B$1,$B173&amp;":"&amp;J$115&amp;":"&amp;$R$114)</f>
        <v>#</v>
      </c>
      <c r="Y173" s="82" t="str">
        <f>_xll.BLUEMATRIX2("/servlet/excelData",K173,$B$1,$B173&amp;":"&amp;K$115&amp;":"&amp;$R$114)</f>
        <v>#</v>
      </c>
      <c r="Z173" s="82" t="str">
        <f>_xll.BLUEMATRIX2("/servlet/excelData",L173,$B$1,$B173&amp;":"&amp;L$115&amp;":"&amp;$R$114)</f>
        <v>#</v>
      </c>
      <c r="AA173" s="82" t="str">
        <f>_xll.BLUEMATRIX2("/servlet/excelData",M173,$B$1,$B173&amp;":"&amp;M$115&amp;":"&amp;$R$114)</f>
        <v>#</v>
      </c>
      <c r="AB173" s="82" t="str">
        <f>_xll.BLUEMATRIX2("/servlet/excelData",N173,$B$1,$B173&amp;":"&amp;N$115&amp;":"&amp;$R$114)</f>
        <v>#</v>
      </c>
      <c r="AC173" s="82" t="str">
        <f>_xll.BLUEMATRIX2("/servlet/excelData",O173,$B$1,$B173&amp;":"&amp;O$115&amp;":"&amp;$R$114)</f>
        <v>#</v>
      </c>
      <c r="AD173" s="82" t="str">
        <f>_xll.BLUEMATRIX2("/servlet/excelData",P173,$B$1,$B173&amp;":"&amp;P$115&amp;":"&amp;$R$114)</f>
        <v>#</v>
      </c>
      <c r="AE173" s="82" t="str">
        <f>_xll.BLUEMATRIX2("/servlet/excelData",Q173,$B$1,$B173&amp;":"&amp;Q$115&amp;":"&amp;$R$114)</f>
        <v>#</v>
      </c>
    </row>
    <row r="174" spans="1:31" ht="12.95" customHeight="1" x14ac:dyDescent="0.2">
      <c r="A174" s="109" t="s">
        <v>719</v>
      </c>
      <c r="B174" s="29" t="s">
        <v>720</v>
      </c>
      <c r="C174" s="110" t="s">
        <v>721</v>
      </c>
      <c r="D174" s="111"/>
      <c r="E174" s="111"/>
      <c r="F174" s="111">
        <f>FY!F123</f>
        <v>0</v>
      </c>
      <c r="G174" s="111">
        <f>FY!G123</f>
        <v>0</v>
      </c>
      <c r="H174" s="111">
        <f>-(H170+H171)</f>
        <v>11.6</v>
      </c>
      <c r="I174" s="111">
        <f t="shared" ref="I174:Q174" si="17">-(I170+I171)</f>
        <v>19.5</v>
      </c>
      <c r="J174" s="111">
        <f t="shared" si="17"/>
        <v>8.6571327683615831</v>
      </c>
      <c r="K174" s="111">
        <f t="shared" si="17"/>
        <v>5.5785459154779682</v>
      </c>
      <c r="L174" s="111">
        <f t="shared" si="17"/>
        <v>2.2999447141965006</v>
      </c>
      <c r="M174" s="111">
        <f t="shared" si="17"/>
        <v>2.3026837243268261</v>
      </c>
      <c r="N174" s="111">
        <f t="shared" si="17"/>
        <v>2.339823784396613</v>
      </c>
      <c r="O174" s="111">
        <f t="shared" si="17"/>
        <v>2.456814973616444</v>
      </c>
      <c r="P174" s="111">
        <f t="shared" si="17"/>
        <v>2.5796557222972663</v>
      </c>
      <c r="Q174" s="111">
        <f t="shared" si="17"/>
        <v>2.7086385084121294</v>
      </c>
      <c r="R174" s="1"/>
      <c r="S174" s="82" t="str">
        <f>_xll.BLUEMATRIX2("/servlet/excelData",E174,$B$1,$B174&amp;":"&amp;E$115&amp;":"&amp;$R$114)</f>
        <v>#</v>
      </c>
      <c r="T174" s="82" t="str">
        <f>_xll.BLUEMATRIX2("/servlet/excelData",F174,$B$1,$B174&amp;":"&amp;F$115&amp;":"&amp;$R$114)</f>
        <v>#</v>
      </c>
      <c r="U174" s="82" t="str">
        <f>_xll.BLUEMATRIX2("/servlet/excelData",G174,$B$1,$B174&amp;":"&amp;G$115&amp;":"&amp;$R$114)</f>
        <v>#</v>
      </c>
      <c r="V174" s="82" t="str">
        <f>_xll.BLUEMATRIX2("/servlet/excelData",H174,$B$1,$B174&amp;":"&amp;H$115&amp;":"&amp;$R$114)</f>
        <v>#</v>
      </c>
      <c r="W174" s="82" t="str">
        <f>_xll.BLUEMATRIX2("/servlet/excelData",I174,$B$1,$B174&amp;":"&amp;I$115&amp;":"&amp;$R$114)</f>
        <v>#</v>
      </c>
      <c r="X174" s="82" t="str">
        <f>_xll.BLUEMATRIX2("/servlet/excelData",J174,$B$1,$B174&amp;":"&amp;J$115&amp;":"&amp;$R$114)</f>
        <v>#</v>
      </c>
      <c r="Y174" s="82" t="str">
        <f>_xll.BLUEMATRIX2("/servlet/excelData",K174,$B$1,$B174&amp;":"&amp;K$115&amp;":"&amp;$R$114)</f>
        <v>#</v>
      </c>
      <c r="Z174" s="82" t="str">
        <f>_xll.BLUEMATRIX2("/servlet/excelData",L174,$B$1,$B174&amp;":"&amp;L$115&amp;":"&amp;$R$114)</f>
        <v>#</v>
      </c>
      <c r="AA174" s="82" t="str">
        <f>_xll.BLUEMATRIX2("/servlet/excelData",M174,$B$1,$B174&amp;":"&amp;M$115&amp;":"&amp;$R$114)</f>
        <v>#</v>
      </c>
      <c r="AB174" s="82" t="str">
        <f>_xll.BLUEMATRIX2("/servlet/excelData",N174,$B$1,$B174&amp;":"&amp;N$115&amp;":"&amp;$R$114)</f>
        <v>#</v>
      </c>
      <c r="AC174" s="82" t="str">
        <f>_xll.BLUEMATRIX2("/servlet/excelData",O174,$B$1,$B174&amp;":"&amp;O$115&amp;":"&amp;$R$114)</f>
        <v>#</v>
      </c>
      <c r="AD174" s="82" t="str">
        <f>_xll.BLUEMATRIX2("/servlet/excelData",P174,$B$1,$B174&amp;":"&amp;P$115&amp;":"&amp;$R$114)</f>
        <v>#</v>
      </c>
      <c r="AE174" s="82" t="str">
        <f>_xll.BLUEMATRIX2("/servlet/excelData",Q174,$B$1,$B174&amp;":"&amp;Q$115&amp;":"&amp;$R$114)</f>
        <v>#</v>
      </c>
    </row>
    <row r="175" spans="1:31" ht="12.95" customHeight="1" x14ac:dyDescent="0.2">
      <c r="A175" s="109" t="s">
        <v>722</v>
      </c>
      <c r="B175" s="29" t="s">
        <v>723</v>
      </c>
      <c r="C175" s="110" t="s">
        <v>724</v>
      </c>
      <c r="D175" s="111"/>
      <c r="E175" s="111"/>
      <c r="F175" s="111"/>
      <c r="G175" s="111"/>
      <c r="H175" s="111"/>
      <c r="I175" s="111"/>
      <c r="J175" s="111"/>
      <c r="K175" s="111"/>
      <c r="L175" s="111"/>
      <c r="M175" s="111"/>
      <c r="N175" s="111"/>
      <c r="O175" s="111"/>
      <c r="P175" s="111"/>
      <c r="Q175" s="111"/>
      <c r="R175" s="1"/>
      <c r="S175" s="82" t="str">
        <f>_xll.BLUEMATRIX2("/servlet/excelData",E175,$B$1,$B175&amp;":"&amp;E$115&amp;":"&amp;$R$114)</f>
        <v>#</v>
      </c>
      <c r="T175" s="82" t="str">
        <f>_xll.BLUEMATRIX2("/servlet/excelData",F175,$B$1,$B175&amp;":"&amp;F$115&amp;":"&amp;$R$114)</f>
        <v>#</v>
      </c>
      <c r="U175" s="82" t="str">
        <f>_xll.BLUEMATRIX2("/servlet/excelData",G175,$B$1,$B175&amp;":"&amp;G$115&amp;":"&amp;$R$114)</f>
        <v>#</v>
      </c>
      <c r="V175" s="82" t="str">
        <f>_xll.BLUEMATRIX2("/servlet/excelData",H175,$B$1,$B175&amp;":"&amp;H$115&amp;":"&amp;$R$114)</f>
        <v>#</v>
      </c>
      <c r="W175" s="82" t="str">
        <f>_xll.BLUEMATRIX2("/servlet/excelData",I175,$B$1,$B175&amp;":"&amp;I$115&amp;":"&amp;$R$114)</f>
        <v>#</v>
      </c>
      <c r="X175" s="82" t="str">
        <f>_xll.BLUEMATRIX2("/servlet/excelData",J175,$B$1,$B175&amp;":"&amp;J$115&amp;":"&amp;$R$114)</f>
        <v>#</v>
      </c>
      <c r="Y175" s="82" t="str">
        <f>_xll.BLUEMATRIX2("/servlet/excelData",K175,$B$1,$B175&amp;":"&amp;K$115&amp;":"&amp;$R$114)</f>
        <v>#</v>
      </c>
      <c r="Z175" s="82" t="str">
        <f>_xll.BLUEMATRIX2("/servlet/excelData",L175,$B$1,$B175&amp;":"&amp;L$115&amp;":"&amp;$R$114)</f>
        <v>#</v>
      </c>
      <c r="AA175" s="82" t="str">
        <f>_xll.BLUEMATRIX2("/servlet/excelData",M175,$B$1,$B175&amp;":"&amp;M$115&amp;":"&amp;$R$114)</f>
        <v>#</v>
      </c>
      <c r="AB175" s="82" t="str">
        <f>_xll.BLUEMATRIX2("/servlet/excelData",N175,$B$1,$B175&amp;":"&amp;N$115&amp;":"&amp;$R$114)</f>
        <v>#</v>
      </c>
      <c r="AC175" s="82" t="str">
        <f>_xll.BLUEMATRIX2("/servlet/excelData",O175,$B$1,$B175&amp;":"&amp;O$115&amp;":"&amp;$R$114)</f>
        <v>#</v>
      </c>
      <c r="AD175" s="82" t="str">
        <f>_xll.BLUEMATRIX2("/servlet/excelData",P175,$B$1,$B175&amp;":"&amp;P$115&amp;":"&amp;$R$114)</f>
        <v>#</v>
      </c>
      <c r="AE175" s="82" t="str">
        <f>_xll.BLUEMATRIX2("/servlet/excelData",Q175,$B$1,$B175&amp;":"&amp;Q$115&amp;":"&amp;$R$114)</f>
        <v>#</v>
      </c>
    </row>
    <row r="176" spans="1:31" ht="12.95" customHeight="1" x14ac:dyDescent="0.2">
      <c r="A176" s="109" t="s">
        <v>725</v>
      </c>
      <c r="B176" s="29" t="s">
        <v>726</v>
      </c>
      <c r="C176" s="113" t="s">
        <v>727</v>
      </c>
      <c r="D176" s="114"/>
      <c r="E176" s="114"/>
      <c r="F176" s="114">
        <f t="shared" ref="F176:Q176" si="18">F172+F173+F174+F175</f>
        <v>0</v>
      </c>
      <c r="G176" s="114">
        <f t="shared" si="18"/>
        <v>0</v>
      </c>
      <c r="H176" s="114">
        <f t="shared" si="18"/>
        <v>4.8</v>
      </c>
      <c r="I176" s="114">
        <f t="shared" si="18"/>
        <v>-20.700000000000003</v>
      </c>
      <c r="J176" s="114">
        <f t="shared" si="18"/>
        <v>3.6193085339701403</v>
      </c>
      <c r="K176" s="114">
        <f t="shared" si="18"/>
        <v>6.5389652960691045</v>
      </c>
      <c r="L176" s="114">
        <f t="shared" si="18"/>
        <v>8.6409051703592397</v>
      </c>
      <c r="M176" s="114">
        <f t="shared" si="18"/>
        <v>10.712787669571455</v>
      </c>
      <c r="N176" s="114">
        <f t="shared" si="18"/>
        <v>12.619120494971568</v>
      </c>
      <c r="O176" s="114">
        <f t="shared" si="18"/>
        <v>13.782771919630488</v>
      </c>
      <c r="P176" s="114">
        <f t="shared" si="18"/>
        <v>14.964467717967109</v>
      </c>
      <c r="Q176" s="114">
        <f t="shared" si="18"/>
        <v>16.163508193619673</v>
      </c>
      <c r="R176" s="1"/>
      <c r="S176" s="82" t="str">
        <f>_xll.BLUEMATRIX2("/servlet/excelData",E176,$B$1,$B176&amp;":"&amp;E$115&amp;":"&amp;$R$114)</f>
        <v>#</v>
      </c>
      <c r="T176" s="82" t="str">
        <f>_xll.BLUEMATRIX2("/servlet/excelData",F176,$B$1,$B176&amp;":"&amp;F$115&amp;":"&amp;$R$114)</f>
        <v>#</v>
      </c>
      <c r="U176" s="82" t="str">
        <f>_xll.BLUEMATRIX2("/servlet/excelData",G176,$B$1,$B176&amp;":"&amp;G$115&amp;":"&amp;$R$114)</f>
        <v>#</v>
      </c>
      <c r="V176" s="82" t="str">
        <f>_xll.BLUEMATRIX2("/servlet/excelData",H176,$B$1,$B176&amp;":"&amp;H$115&amp;":"&amp;$R$114)</f>
        <v>#</v>
      </c>
      <c r="W176" s="82" t="str">
        <f>_xll.BLUEMATRIX2("/servlet/excelData",I176,$B$1,$B176&amp;":"&amp;I$115&amp;":"&amp;$R$114)</f>
        <v>#</v>
      </c>
      <c r="X176" s="82" t="str">
        <f>_xll.BLUEMATRIX2("/servlet/excelData",J176,$B$1,$B176&amp;":"&amp;J$115&amp;":"&amp;$R$114)</f>
        <v>#</v>
      </c>
      <c r="Y176" s="82" t="str">
        <f>_xll.BLUEMATRIX2("/servlet/excelData",K176,$B$1,$B176&amp;":"&amp;K$115&amp;":"&amp;$R$114)</f>
        <v>#</v>
      </c>
      <c r="Z176" s="82" t="str">
        <f>_xll.BLUEMATRIX2("/servlet/excelData",L176,$B$1,$B176&amp;":"&amp;L$115&amp;":"&amp;$R$114)</f>
        <v>#</v>
      </c>
      <c r="AA176" s="82" t="str">
        <f>_xll.BLUEMATRIX2("/servlet/excelData",M176,$B$1,$B176&amp;":"&amp;M$115&amp;":"&amp;$R$114)</f>
        <v>#</v>
      </c>
      <c r="AB176" s="82" t="str">
        <f>_xll.BLUEMATRIX2("/servlet/excelData",N176,$B$1,$B176&amp;":"&amp;N$115&amp;":"&amp;$R$114)</f>
        <v>#</v>
      </c>
      <c r="AC176" s="82" t="str">
        <f>_xll.BLUEMATRIX2("/servlet/excelData",O176,$B$1,$B176&amp;":"&amp;O$115&amp;":"&amp;$R$114)</f>
        <v>#</v>
      </c>
      <c r="AD176" s="82" t="str">
        <f>_xll.BLUEMATRIX2("/servlet/excelData",P176,$B$1,$B176&amp;":"&amp;P$115&amp;":"&amp;$R$114)</f>
        <v>#</v>
      </c>
      <c r="AE176" s="82" t="str">
        <f>_xll.BLUEMATRIX2("/servlet/excelData",Q176,$B$1,$B176&amp;":"&amp;Q$115&amp;":"&amp;$R$114)</f>
        <v>#</v>
      </c>
    </row>
    <row r="177" spans="1:31" ht="12.95" customHeight="1" x14ac:dyDescent="0.2">
      <c r="A177" s="109"/>
      <c r="B177" s="29"/>
      <c r="C177" s="121" t="s">
        <v>728</v>
      </c>
      <c r="D177" s="122"/>
      <c r="E177" s="486"/>
      <c r="F177" s="486">
        <f>ROUND(FY!F124-F176,1)</f>
        <v>0</v>
      </c>
      <c r="G177" s="486">
        <f>ROUND(FY!G124-G176,1)</f>
        <v>0</v>
      </c>
      <c r="H177" s="486">
        <f>ROUND(FY!H108-H176,1)</f>
        <v>0</v>
      </c>
      <c r="I177" s="486">
        <f>ROUND(FY!I108-I176,1)</f>
        <v>0</v>
      </c>
      <c r="J177" s="486">
        <f>ROUND(FY!J108-J176,1)</f>
        <v>0</v>
      </c>
      <c r="K177" s="486">
        <f>ROUND(FY!K108-K176,1)</f>
        <v>0</v>
      </c>
      <c r="L177" s="486">
        <f>ROUND(FY!L108-L176,1)</f>
        <v>0</v>
      </c>
      <c r="M177" s="486">
        <f>ROUND(FY!M108-M176,1)</f>
        <v>0</v>
      </c>
      <c r="N177" s="486">
        <f>ROUND(FY!N108-N176,1)</f>
        <v>0</v>
      </c>
      <c r="O177" s="486">
        <f>ROUND(FY!O108-O176,1)</f>
        <v>0</v>
      </c>
      <c r="P177" s="486">
        <f>ROUND(FY!P108-P176,1)</f>
        <v>0</v>
      </c>
      <c r="Q177" s="486">
        <f>ROUND(FY!Q108-Q176,1)</f>
        <v>0</v>
      </c>
      <c r="R177" s="1"/>
      <c r="S177" s="82"/>
      <c r="T177" s="82"/>
      <c r="U177" s="82"/>
      <c r="V177" s="82"/>
      <c r="W177" s="82"/>
      <c r="X177" s="82"/>
      <c r="Y177" s="82"/>
      <c r="Z177" s="82"/>
      <c r="AA177" s="82"/>
      <c r="AB177" s="82"/>
      <c r="AC177" s="82"/>
      <c r="AD177" s="82"/>
      <c r="AE177" s="82"/>
    </row>
    <row r="178" spans="1:31" ht="12.95" customHeight="1" x14ac:dyDescent="0.2">
      <c r="A178" s="26"/>
      <c r="B178" s="26"/>
      <c r="C178" s="123"/>
      <c r="D178" s="124"/>
      <c r="E178" s="125"/>
      <c r="F178" s="125"/>
      <c r="G178" s="125"/>
      <c r="H178" s="125"/>
      <c r="I178" s="125"/>
      <c r="J178" s="125"/>
      <c r="K178" s="125"/>
      <c r="L178" s="125"/>
      <c r="M178" s="125"/>
      <c r="N178" s="125"/>
      <c r="O178" s="125"/>
      <c r="P178" s="125"/>
      <c r="Q178" s="125"/>
      <c r="R178" s="1"/>
      <c r="S178" s="33"/>
      <c r="T178" s="33"/>
      <c r="U178" s="33"/>
      <c r="V178" s="33"/>
      <c r="W178" s="33"/>
      <c r="X178" s="33"/>
      <c r="Y178" s="33"/>
      <c r="Z178" s="33"/>
      <c r="AA178" s="33"/>
      <c r="AB178" s="33"/>
      <c r="AC178" s="33"/>
      <c r="AD178" s="33"/>
      <c r="AE178" s="33"/>
    </row>
    <row r="179" spans="1:31" ht="12.95" customHeight="1" x14ac:dyDescent="0.2">
      <c r="A179" s="26"/>
      <c r="B179" s="26"/>
      <c r="C179" s="123"/>
      <c r="D179" s="125"/>
      <c r="E179" s="125"/>
      <c r="F179" s="125"/>
      <c r="G179" s="125"/>
      <c r="H179" s="125"/>
      <c r="I179" s="125"/>
      <c r="J179" s="125"/>
      <c r="K179" s="125"/>
      <c r="L179" s="125"/>
      <c r="M179" s="125"/>
      <c r="N179" s="125"/>
      <c r="O179" s="125"/>
      <c r="P179" s="125"/>
      <c r="Q179" s="125"/>
      <c r="R179" s="1"/>
      <c r="S179" s="33"/>
      <c r="T179" s="33"/>
      <c r="U179" s="33"/>
      <c r="V179" s="33"/>
      <c r="W179" s="33"/>
      <c r="X179" s="33"/>
      <c r="Y179" s="33"/>
      <c r="Z179" s="33"/>
      <c r="AA179" s="33"/>
      <c r="AB179" s="33"/>
      <c r="AC179" s="33"/>
      <c r="AD179" s="33"/>
      <c r="AE179" s="33"/>
    </row>
    <row r="180" spans="1:31" ht="15" customHeight="1" x14ac:dyDescent="0.2">
      <c r="A180" s="61"/>
      <c r="B180" s="61"/>
      <c r="C180" s="107" t="s">
        <v>729</v>
      </c>
      <c r="D180" s="108"/>
      <c r="E180" s="108"/>
      <c r="F180" s="108"/>
      <c r="G180" s="108"/>
      <c r="H180" s="108"/>
      <c r="I180" s="108"/>
      <c r="J180" s="108"/>
      <c r="K180" s="108"/>
      <c r="L180" s="108"/>
      <c r="M180" s="108"/>
      <c r="N180" s="108"/>
      <c r="O180" s="108"/>
      <c r="P180" s="108"/>
      <c r="Q180" s="108"/>
      <c r="R180" s="64"/>
      <c r="S180" s="33"/>
      <c r="T180" s="33"/>
      <c r="U180" s="33"/>
      <c r="V180" s="33"/>
      <c r="W180" s="33"/>
      <c r="X180" s="33"/>
      <c r="Y180" s="33"/>
      <c r="Z180" s="33"/>
      <c r="AA180" s="33"/>
      <c r="AB180" s="33"/>
      <c r="AC180" s="33"/>
      <c r="AD180" s="33"/>
      <c r="AE180" s="33"/>
    </row>
    <row r="181" spans="1:31" ht="12.95" customHeight="1" x14ac:dyDescent="0.2">
      <c r="A181" s="61"/>
      <c r="B181" s="61"/>
      <c r="C181" s="126" t="s">
        <v>730</v>
      </c>
      <c r="D181" s="127"/>
      <c r="E181" s="127"/>
      <c r="F181" s="127"/>
      <c r="G181" s="127"/>
      <c r="H181" s="127"/>
      <c r="I181" s="127"/>
      <c r="J181" s="127"/>
      <c r="K181" s="127"/>
      <c r="L181" s="127"/>
      <c r="M181" s="127"/>
      <c r="N181" s="127"/>
      <c r="O181" s="127"/>
      <c r="P181" s="127"/>
      <c r="Q181" s="127"/>
      <c r="R181" s="64"/>
      <c r="S181" s="33"/>
      <c r="T181" s="33"/>
      <c r="U181" s="33"/>
      <c r="V181" s="33"/>
      <c r="W181" s="33"/>
      <c r="X181" s="33"/>
      <c r="Y181" s="33"/>
      <c r="Z181" s="33"/>
      <c r="AA181" s="33"/>
      <c r="AB181" s="33"/>
      <c r="AC181" s="33"/>
      <c r="AD181" s="33"/>
      <c r="AE181" s="33"/>
    </row>
    <row r="182" spans="1:31" ht="12.95" customHeight="1" x14ac:dyDescent="0.2">
      <c r="A182" s="26" t="s">
        <v>731</v>
      </c>
      <c r="B182" s="29" t="s">
        <v>240</v>
      </c>
      <c r="C182" s="110" t="s">
        <v>240</v>
      </c>
      <c r="D182" s="111"/>
      <c r="E182" s="483">
        <f>FY!E194</f>
        <v>0</v>
      </c>
      <c r="F182" s="483">
        <f>FY!F194</f>
        <v>0</v>
      </c>
      <c r="G182" s="483">
        <f>FY!G194</f>
        <v>24.5</v>
      </c>
      <c r="H182" s="483">
        <f>FY!H194</f>
        <v>104.9</v>
      </c>
      <c r="I182" s="483">
        <f>FY!I194</f>
        <v>27.6</v>
      </c>
      <c r="J182" s="483">
        <f>FY!J194</f>
        <v>29.338569229590878</v>
      </c>
      <c r="K182" s="483">
        <f>FY!K194</f>
        <v>35.835070516634943</v>
      </c>
      <c r="L182" s="483">
        <f>FY!L194</f>
        <v>45.075051409491252</v>
      </c>
      <c r="M182" s="483">
        <f>FY!M194</f>
        <v>57.029758684486303</v>
      </c>
      <c r="N182" s="483">
        <f>FY!N194</f>
        <v>70.504095236106579</v>
      </c>
      <c r="O182" s="483">
        <f>FY!O194</f>
        <v>84.828307149279439</v>
      </c>
      <c r="P182" s="483">
        <f>FY!P194</f>
        <v>100.07804561677837</v>
      </c>
      <c r="Q182" s="483">
        <f>FY!Q194</f>
        <v>116.31607461411772</v>
      </c>
      <c r="R182" s="1"/>
      <c r="S182" s="82" t="str">
        <f>_xll.BLUEMATRIX2("/servlet/excelData",E182,$B$1,$B182&amp;":"&amp;E$115&amp;":"&amp;$R$114)</f>
        <v>#</v>
      </c>
      <c r="T182" s="82" t="str">
        <f>_xll.BLUEMATRIX2("/servlet/excelData",F182,$B$1,$B182&amp;":"&amp;F$115&amp;":"&amp;$R$114)</f>
        <v>#</v>
      </c>
      <c r="U182" s="82" t="str">
        <f>_xll.BLUEMATRIX2("/servlet/excelData",G182,$B$1,$B182&amp;":"&amp;G$115&amp;":"&amp;$R$114)</f>
        <v>#</v>
      </c>
      <c r="V182" s="82" t="str">
        <f>_xll.BLUEMATRIX2("/servlet/excelData",H182,$B$1,$B182&amp;":"&amp;H$115&amp;":"&amp;$R$114)</f>
        <v>#</v>
      </c>
      <c r="W182" s="82" t="str">
        <f>_xll.BLUEMATRIX2("/servlet/excelData",I182,$B$1,$B182&amp;":"&amp;I$115&amp;":"&amp;$R$114)</f>
        <v>#</v>
      </c>
      <c r="X182" s="82" t="str">
        <f>_xll.BLUEMATRIX2("/servlet/excelData",J182,$B$1,$B182&amp;":"&amp;J$115&amp;":"&amp;$R$114)</f>
        <v>#</v>
      </c>
      <c r="Y182" s="82" t="str">
        <f>_xll.BLUEMATRIX2("/servlet/excelData",K182,$B$1,$B182&amp;":"&amp;K$115&amp;":"&amp;$R$114)</f>
        <v>#</v>
      </c>
      <c r="Z182" s="82" t="str">
        <f>_xll.BLUEMATRIX2("/servlet/excelData",L182,$B$1,$B182&amp;":"&amp;L$115&amp;":"&amp;$R$114)</f>
        <v>#</v>
      </c>
      <c r="AA182" s="82" t="str">
        <f>_xll.BLUEMATRIX2("/servlet/excelData",M182,$B$1,$B182&amp;":"&amp;M$115&amp;":"&amp;$R$114)</f>
        <v>#</v>
      </c>
      <c r="AB182" s="82" t="str">
        <f>_xll.BLUEMATRIX2("/servlet/excelData",N182,$B$1,$B182&amp;":"&amp;N$115&amp;":"&amp;$R$114)</f>
        <v>#</v>
      </c>
      <c r="AC182" s="82" t="str">
        <f>_xll.BLUEMATRIX2("/servlet/excelData",O182,$B$1,$B182&amp;":"&amp;O$115&amp;":"&amp;$R$114)</f>
        <v>#</v>
      </c>
      <c r="AD182" s="82" t="str">
        <f>_xll.BLUEMATRIX2("/servlet/excelData",P182,$B$1,$B182&amp;":"&amp;P$115&amp;":"&amp;$R$114)</f>
        <v>#</v>
      </c>
      <c r="AE182" s="82" t="str">
        <f>_xll.BLUEMATRIX2("/servlet/excelData",Q182,$B$1,$B182&amp;":"&amp;Q$115&amp;":"&amp;$R$114)</f>
        <v>#</v>
      </c>
    </row>
    <row r="183" spans="1:31" ht="12.95" customHeight="1" x14ac:dyDescent="0.2">
      <c r="A183" s="26" t="s">
        <v>732</v>
      </c>
      <c r="B183" s="29" t="s">
        <v>733</v>
      </c>
      <c r="C183" s="110" t="s">
        <v>734</v>
      </c>
      <c r="D183" s="111"/>
      <c r="E183" s="483">
        <f>FY!E195</f>
        <v>0</v>
      </c>
      <c r="F183" s="483">
        <f>FY!F195</f>
        <v>0</v>
      </c>
      <c r="G183" s="483">
        <f>FY!G195</f>
        <v>1</v>
      </c>
      <c r="H183" s="483">
        <f>FY!H195</f>
        <v>1.3</v>
      </c>
      <c r="I183" s="483">
        <f>FY!I195</f>
        <v>1.1000000000000001</v>
      </c>
      <c r="J183" s="483">
        <f>FY!J195</f>
        <v>1.1892313202614384</v>
      </c>
      <c r="K183" s="483">
        <f>FY!K195</f>
        <v>1.2486928862745101</v>
      </c>
      <c r="L183" s="483">
        <f>FY!L195</f>
        <v>1.3111275305882357</v>
      </c>
      <c r="M183" s="483">
        <f>FY!M195</f>
        <v>1.3766839071176478</v>
      </c>
      <c r="N183" s="483">
        <f>FY!N195</f>
        <v>1.4455181024735302</v>
      </c>
      <c r="O183" s="483">
        <f>FY!O195</f>
        <v>1.517794007597207</v>
      </c>
      <c r="P183" s="483">
        <f>FY!P195</f>
        <v>1.5936837079770674</v>
      </c>
      <c r="Q183" s="483">
        <f>FY!Q195</f>
        <v>1.6733678933759208</v>
      </c>
      <c r="R183" s="1"/>
      <c r="S183" s="82" t="str">
        <f>_xll.BLUEMATRIX2("/servlet/excelData",E183,$B$1,$B183&amp;":"&amp;E$115&amp;":"&amp;$R$114)</f>
        <v>#</v>
      </c>
      <c r="T183" s="82" t="str">
        <f>_xll.BLUEMATRIX2("/servlet/excelData",F183,$B$1,$B183&amp;":"&amp;F$115&amp;":"&amp;$R$114)</f>
        <v>#</v>
      </c>
      <c r="U183" s="82" t="str">
        <f>_xll.BLUEMATRIX2("/servlet/excelData",G183,$B$1,$B183&amp;":"&amp;G$115&amp;":"&amp;$R$114)</f>
        <v>#</v>
      </c>
      <c r="V183" s="82" t="str">
        <f>_xll.BLUEMATRIX2("/servlet/excelData",H183,$B$1,$B183&amp;":"&amp;H$115&amp;":"&amp;$R$114)</f>
        <v>#</v>
      </c>
      <c r="W183" s="82" t="str">
        <f>_xll.BLUEMATRIX2("/servlet/excelData",I183,$B$1,$B183&amp;":"&amp;I$115&amp;":"&amp;$R$114)</f>
        <v>#</v>
      </c>
      <c r="X183" s="82" t="str">
        <f>_xll.BLUEMATRIX2("/servlet/excelData",J183,$B$1,$B183&amp;":"&amp;J$115&amp;":"&amp;$R$114)</f>
        <v>#</v>
      </c>
      <c r="Y183" s="82" t="str">
        <f>_xll.BLUEMATRIX2("/servlet/excelData",K183,$B$1,$B183&amp;":"&amp;K$115&amp;":"&amp;$R$114)</f>
        <v>#</v>
      </c>
      <c r="Z183" s="82" t="str">
        <f>_xll.BLUEMATRIX2("/servlet/excelData",L183,$B$1,$B183&amp;":"&amp;L$115&amp;":"&amp;$R$114)</f>
        <v>#</v>
      </c>
      <c r="AA183" s="82" t="str">
        <f>_xll.BLUEMATRIX2("/servlet/excelData",M183,$B$1,$B183&amp;":"&amp;M$115&amp;":"&amp;$R$114)</f>
        <v>#</v>
      </c>
      <c r="AB183" s="82" t="str">
        <f>_xll.BLUEMATRIX2("/servlet/excelData",N183,$B$1,$B183&amp;":"&amp;N$115&amp;":"&amp;$R$114)</f>
        <v>#</v>
      </c>
      <c r="AC183" s="82" t="str">
        <f>_xll.BLUEMATRIX2("/servlet/excelData",O183,$B$1,$B183&amp;":"&amp;O$115&amp;":"&amp;$R$114)</f>
        <v>#</v>
      </c>
      <c r="AD183" s="82" t="str">
        <f>_xll.BLUEMATRIX2("/servlet/excelData",P183,$B$1,$B183&amp;":"&amp;P$115&amp;":"&amp;$R$114)</f>
        <v>#</v>
      </c>
      <c r="AE183" s="82" t="str">
        <f>_xll.BLUEMATRIX2("/servlet/excelData",Q183,$B$1,$B183&amp;":"&amp;Q$115&amp;":"&amp;$R$114)</f>
        <v>#</v>
      </c>
    </row>
    <row r="184" spans="1:31" ht="12.95" customHeight="1" x14ac:dyDescent="0.2">
      <c r="A184" s="26" t="s">
        <v>735</v>
      </c>
      <c r="B184" s="29" t="s">
        <v>736</v>
      </c>
      <c r="C184" s="110" t="s">
        <v>737</v>
      </c>
      <c r="D184" s="111"/>
      <c r="E184" s="483">
        <f>FY!E196</f>
        <v>0</v>
      </c>
      <c r="F184" s="483">
        <f>FY!F196</f>
        <v>0</v>
      </c>
      <c r="G184" s="483">
        <f>FY!G196</f>
        <v>0</v>
      </c>
      <c r="H184" s="483">
        <f>FY!H196</f>
        <v>0</v>
      </c>
      <c r="I184" s="483">
        <f>FY!I196</f>
        <v>0</v>
      </c>
      <c r="J184" s="483">
        <f>FY!J196</f>
        <v>0</v>
      </c>
      <c r="K184" s="483">
        <f>FY!K196</f>
        <v>0</v>
      </c>
      <c r="L184" s="483">
        <f>FY!L196</f>
        <v>0</v>
      </c>
      <c r="M184" s="483">
        <f>FY!M196</f>
        <v>0</v>
      </c>
      <c r="N184" s="483">
        <f>FY!N196</f>
        <v>0</v>
      </c>
      <c r="O184" s="483">
        <f>FY!O196</f>
        <v>0</v>
      </c>
      <c r="P184" s="483">
        <f>FY!P196</f>
        <v>0</v>
      </c>
      <c r="Q184" s="483">
        <f>FY!Q196</f>
        <v>0</v>
      </c>
      <c r="R184" s="1"/>
      <c r="S184" s="82" t="str">
        <f>_xll.BLUEMATRIX2("/servlet/excelData",E184,$B$1,$B184&amp;":"&amp;E$115&amp;":"&amp;$R$114)</f>
        <v>#</v>
      </c>
      <c r="T184" s="82" t="str">
        <f>_xll.BLUEMATRIX2("/servlet/excelData",F184,$B$1,$B184&amp;":"&amp;F$115&amp;":"&amp;$R$114)</f>
        <v>#</v>
      </c>
      <c r="U184" s="82" t="str">
        <f>_xll.BLUEMATRIX2("/servlet/excelData",G184,$B$1,$B184&amp;":"&amp;G$115&amp;":"&amp;$R$114)</f>
        <v>#</v>
      </c>
      <c r="V184" s="82" t="str">
        <f>_xll.BLUEMATRIX2("/servlet/excelData",H184,$B$1,$B184&amp;":"&amp;H$115&amp;":"&amp;$R$114)</f>
        <v>#</v>
      </c>
      <c r="W184" s="82" t="str">
        <f>_xll.BLUEMATRIX2("/servlet/excelData",I184,$B$1,$B184&amp;":"&amp;I$115&amp;":"&amp;$R$114)</f>
        <v>#</v>
      </c>
      <c r="X184" s="82" t="str">
        <f>_xll.BLUEMATRIX2("/servlet/excelData",J184,$B$1,$B184&amp;":"&amp;J$115&amp;":"&amp;$R$114)</f>
        <v>#</v>
      </c>
      <c r="Y184" s="82" t="str">
        <f>_xll.BLUEMATRIX2("/servlet/excelData",K184,$B$1,$B184&amp;":"&amp;K$115&amp;":"&amp;$R$114)</f>
        <v>#</v>
      </c>
      <c r="Z184" s="82" t="str">
        <f>_xll.BLUEMATRIX2("/servlet/excelData",L184,$B$1,$B184&amp;":"&amp;L$115&amp;":"&amp;$R$114)</f>
        <v>#</v>
      </c>
      <c r="AA184" s="82" t="str">
        <f>_xll.BLUEMATRIX2("/servlet/excelData",M184,$B$1,$B184&amp;":"&amp;M$115&amp;":"&amp;$R$114)</f>
        <v>#</v>
      </c>
      <c r="AB184" s="82" t="str">
        <f>_xll.BLUEMATRIX2("/servlet/excelData",N184,$B$1,$B184&amp;":"&amp;N$115&amp;":"&amp;$R$114)</f>
        <v>#</v>
      </c>
      <c r="AC184" s="82" t="str">
        <f>_xll.BLUEMATRIX2("/servlet/excelData",O184,$B$1,$B184&amp;":"&amp;O$115&amp;":"&amp;$R$114)</f>
        <v>#</v>
      </c>
      <c r="AD184" s="82" t="str">
        <f>_xll.BLUEMATRIX2("/servlet/excelData",P184,$B$1,$B184&amp;":"&amp;P$115&amp;":"&amp;$R$114)</f>
        <v>#</v>
      </c>
      <c r="AE184" s="82" t="str">
        <f>_xll.BLUEMATRIX2("/servlet/excelData",Q184,$B$1,$B184&amp;":"&amp;Q$115&amp;":"&amp;$R$114)</f>
        <v>#</v>
      </c>
    </row>
    <row r="185" spans="1:31" ht="12.95" customHeight="1" x14ac:dyDescent="0.2">
      <c r="A185" s="26" t="s">
        <v>738</v>
      </c>
      <c r="B185" s="29" t="s">
        <v>739</v>
      </c>
      <c r="C185" s="110" t="s">
        <v>740</v>
      </c>
      <c r="D185" s="111"/>
      <c r="E185" s="483"/>
      <c r="F185" s="483"/>
      <c r="G185" s="483"/>
      <c r="H185" s="483"/>
      <c r="I185" s="483"/>
      <c r="J185" s="483"/>
      <c r="K185" s="483"/>
      <c r="L185" s="483"/>
      <c r="M185" s="483"/>
      <c r="N185" s="483"/>
      <c r="O185" s="483"/>
      <c r="P185" s="483"/>
      <c r="Q185" s="483"/>
      <c r="R185" s="1"/>
      <c r="S185" s="82" t="str">
        <f>_xll.BLUEMATRIX2("/servlet/excelData",E185,$B$1,$B185&amp;":"&amp;E$115&amp;":"&amp;$R$114)</f>
        <v>#</v>
      </c>
      <c r="T185" s="82" t="str">
        <f>_xll.BLUEMATRIX2("/servlet/excelData",F185,$B$1,$B185&amp;":"&amp;F$115&amp;":"&amp;$R$114)</f>
        <v>#</v>
      </c>
      <c r="U185" s="82" t="str">
        <f>_xll.BLUEMATRIX2("/servlet/excelData",G185,$B$1,$B185&amp;":"&amp;G$115&amp;":"&amp;$R$114)</f>
        <v>#</v>
      </c>
      <c r="V185" s="82" t="str">
        <f>_xll.BLUEMATRIX2("/servlet/excelData",H185,$B$1,$B185&amp;":"&amp;H$115&amp;":"&amp;$R$114)</f>
        <v>#</v>
      </c>
      <c r="W185" s="82" t="str">
        <f>_xll.BLUEMATRIX2("/servlet/excelData",I185,$B$1,$B185&amp;":"&amp;I$115&amp;":"&amp;$R$114)</f>
        <v>#</v>
      </c>
      <c r="X185" s="82" t="str">
        <f>_xll.BLUEMATRIX2("/servlet/excelData",J185,$B$1,$B185&amp;":"&amp;J$115&amp;":"&amp;$R$114)</f>
        <v>#</v>
      </c>
      <c r="Y185" s="82" t="str">
        <f>_xll.BLUEMATRIX2("/servlet/excelData",K185,$B$1,$B185&amp;":"&amp;K$115&amp;":"&amp;$R$114)</f>
        <v>#</v>
      </c>
      <c r="Z185" s="82" t="str">
        <f>_xll.BLUEMATRIX2("/servlet/excelData",L185,$B$1,$B185&amp;":"&amp;L$115&amp;":"&amp;$R$114)</f>
        <v>#</v>
      </c>
      <c r="AA185" s="82" t="str">
        <f>_xll.BLUEMATRIX2("/servlet/excelData",M185,$B$1,$B185&amp;":"&amp;M$115&amp;":"&amp;$R$114)</f>
        <v>#</v>
      </c>
      <c r="AB185" s="82" t="str">
        <f>_xll.BLUEMATRIX2("/servlet/excelData",N185,$B$1,$B185&amp;":"&amp;N$115&amp;":"&amp;$R$114)</f>
        <v>#</v>
      </c>
      <c r="AC185" s="82" t="str">
        <f>_xll.BLUEMATRIX2("/servlet/excelData",O185,$B$1,$B185&amp;":"&amp;O$115&amp;":"&amp;$R$114)</f>
        <v>#</v>
      </c>
      <c r="AD185" s="82" t="str">
        <f>_xll.BLUEMATRIX2("/servlet/excelData",P185,$B$1,$B185&amp;":"&amp;P$115&amp;":"&amp;$R$114)</f>
        <v>#</v>
      </c>
      <c r="AE185" s="82" t="str">
        <f>_xll.BLUEMATRIX2("/servlet/excelData",Q185,$B$1,$B185&amp;":"&amp;Q$115&amp;":"&amp;$R$114)</f>
        <v>#</v>
      </c>
    </row>
    <row r="186" spans="1:31" ht="12.95" customHeight="1" x14ac:dyDescent="0.2">
      <c r="A186" s="26" t="s">
        <v>741</v>
      </c>
      <c r="B186" s="29" t="s">
        <v>742</v>
      </c>
      <c r="C186" s="110" t="s">
        <v>743</v>
      </c>
      <c r="D186" s="111"/>
      <c r="E186" s="483">
        <f>FY!E197</f>
        <v>0</v>
      </c>
      <c r="F186" s="483">
        <f>FY!F197</f>
        <v>0</v>
      </c>
      <c r="G186" s="483">
        <f>FY!G197</f>
        <v>1.5</v>
      </c>
      <c r="H186" s="483">
        <f>FY!H197</f>
        <v>2.2999999999999998</v>
      </c>
      <c r="I186" s="483">
        <f>FY!I197</f>
        <v>2.4</v>
      </c>
      <c r="J186" s="483">
        <f>FY!J197</f>
        <v>2.4</v>
      </c>
      <c r="K186" s="483">
        <f>FY!K197</f>
        <v>2.4</v>
      </c>
      <c r="L186" s="483">
        <f>FY!L197</f>
        <v>2.4</v>
      </c>
      <c r="M186" s="483">
        <f>FY!M197</f>
        <v>2.4</v>
      </c>
      <c r="N186" s="483">
        <f>FY!N197</f>
        <v>2.4</v>
      </c>
      <c r="O186" s="483">
        <f>FY!O197</f>
        <v>2.4</v>
      </c>
      <c r="P186" s="483">
        <f>FY!P197</f>
        <v>2.4</v>
      </c>
      <c r="Q186" s="483">
        <f>FY!Q197</f>
        <v>2.4</v>
      </c>
      <c r="R186" s="1"/>
      <c r="S186" s="82" t="str">
        <f>_xll.BLUEMATRIX2("/servlet/excelData",E186,$B$1,$B186&amp;":"&amp;E$115&amp;":"&amp;$R$114)</f>
        <v>#</v>
      </c>
      <c r="T186" s="82" t="str">
        <f>_xll.BLUEMATRIX2("/servlet/excelData",F186,$B$1,$B186&amp;":"&amp;F$115&amp;":"&amp;$R$114)</f>
        <v>#</v>
      </c>
      <c r="U186" s="82" t="str">
        <f>_xll.BLUEMATRIX2("/servlet/excelData",G186,$B$1,$B186&amp;":"&amp;G$115&amp;":"&amp;$R$114)</f>
        <v>#</v>
      </c>
      <c r="V186" s="82" t="str">
        <f>_xll.BLUEMATRIX2("/servlet/excelData",H186,$B$1,$B186&amp;":"&amp;H$115&amp;":"&amp;$R$114)</f>
        <v>#</v>
      </c>
      <c r="W186" s="82" t="str">
        <f>_xll.BLUEMATRIX2("/servlet/excelData",I186,$B$1,$B186&amp;":"&amp;I$115&amp;":"&amp;$R$114)</f>
        <v>#</v>
      </c>
      <c r="X186" s="82" t="str">
        <f>_xll.BLUEMATRIX2("/servlet/excelData",J186,$B$1,$B186&amp;":"&amp;J$115&amp;":"&amp;$R$114)</f>
        <v>#</v>
      </c>
      <c r="Y186" s="82" t="str">
        <f>_xll.BLUEMATRIX2("/servlet/excelData",K186,$B$1,$B186&amp;":"&amp;K$115&amp;":"&amp;$R$114)</f>
        <v>#</v>
      </c>
      <c r="Z186" s="82" t="str">
        <f>_xll.BLUEMATRIX2("/servlet/excelData",L186,$B$1,$B186&amp;":"&amp;L$115&amp;":"&amp;$R$114)</f>
        <v>#</v>
      </c>
      <c r="AA186" s="82" t="str">
        <f>_xll.BLUEMATRIX2("/servlet/excelData",M186,$B$1,$B186&amp;":"&amp;M$115&amp;":"&amp;$R$114)</f>
        <v>#</v>
      </c>
      <c r="AB186" s="82" t="str">
        <f>_xll.BLUEMATRIX2("/servlet/excelData",N186,$B$1,$B186&amp;":"&amp;N$115&amp;":"&amp;$R$114)</f>
        <v>#</v>
      </c>
      <c r="AC186" s="82" t="str">
        <f>_xll.BLUEMATRIX2("/servlet/excelData",O186,$B$1,$B186&amp;":"&amp;O$115&amp;":"&amp;$R$114)</f>
        <v>#</v>
      </c>
      <c r="AD186" s="82" t="str">
        <f>_xll.BLUEMATRIX2("/servlet/excelData",P186,$B$1,$B186&amp;":"&amp;P$115&amp;":"&amp;$R$114)</f>
        <v>#</v>
      </c>
      <c r="AE186" s="82" t="str">
        <f>_xll.BLUEMATRIX2("/servlet/excelData",Q186,$B$1,$B186&amp;":"&amp;Q$115&amp;":"&amp;$R$114)</f>
        <v>#</v>
      </c>
    </row>
    <row r="187" spans="1:31" ht="12.95" customHeight="1" x14ac:dyDescent="0.2">
      <c r="A187" s="26" t="s">
        <v>744</v>
      </c>
      <c r="B187" s="29" t="s">
        <v>745</v>
      </c>
      <c r="C187" s="128" t="s">
        <v>746</v>
      </c>
      <c r="D187" s="114"/>
      <c r="E187" s="114">
        <f t="shared" ref="E187:Q187" si="19">E182+E183+E184+E185+E186</f>
        <v>0</v>
      </c>
      <c r="F187" s="114">
        <f t="shared" si="19"/>
        <v>0</v>
      </c>
      <c r="G187" s="114">
        <f t="shared" si="19"/>
        <v>27</v>
      </c>
      <c r="H187" s="114">
        <f t="shared" si="19"/>
        <v>108.5</v>
      </c>
      <c r="I187" s="114">
        <f t="shared" si="19"/>
        <v>31.1</v>
      </c>
      <c r="J187" s="114">
        <f t="shared" si="19"/>
        <v>32.927800549852314</v>
      </c>
      <c r="K187" s="114">
        <f t="shared" si="19"/>
        <v>39.483763402909453</v>
      </c>
      <c r="L187" s="114">
        <f t="shared" si="19"/>
        <v>48.786178940079488</v>
      </c>
      <c r="M187" s="114">
        <f t="shared" si="19"/>
        <v>60.806442591603947</v>
      </c>
      <c r="N187" s="114">
        <f t="shared" si="19"/>
        <v>74.349613338580113</v>
      </c>
      <c r="O187" s="114">
        <f t="shared" si="19"/>
        <v>88.746101156876648</v>
      </c>
      <c r="P187" s="114">
        <f t="shared" si="19"/>
        <v>104.07172932475544</v>
      </c>
      <c r="Q187" s="114">
        <f t="shared" si="19"/>
        <v>120.38944250749365</v>
      </c>
      <c r="R187" s="1"/>
      <c r="S187" s="82" t="str">
        <f>_xll.BLUEMATRIX2("/servlet/excelData",E187,$B$1,$B187&amp;":"&amp;E$115&amp;":"&amp;$R$114)</f>
        <v>#</v>
      </c>
      <c r="T187" s="82" t="str">
        <f>_xll.BLUEMATRIX2("/servlet/excelData",F187,$B$1,$B187&amp;":"&amp;F$115&amp;":"&amp;$R$114)</f>
        <v>#</v>
      </c>
      <c r="U187" s="82" t="str">
        <f>_xll.BLUEMATRIX2("/servlet/excelData",G187,$B$1,$B187&amp;":"&amp;G$115&amp;":"&amp;$R$114)</f>
        <v>#</v>
      </c>
      <c r="V187" s="82" t="str">
        <f>_xll.BLUEMATRIX2("/servlet/excelData",H187,$B$1,$B187&amp;":"&amp;H$115&amp;":"&amp;$R$114)</f>
        <v>#</v>
      </c>
      <c r="W187" s="82" t="str">
        <f>_xll.BLUEMATRIX2("/servlet/excelData",I187,$B$1,$B187&amp;":"&amp;I$115&amp;":"&amp;$R$114)</f>
        <v>#</v>
      </c>
      <c r="X187" s="82" t="str">
        <f>_xll.BLUEMATRIX2("/servlet/excelData",J187,$B$1,$B187&amp;":"&amp;J$115&amp;":"&amp;$R$114)</f>
        <v>#</v>
      </c>
      <c r="Y187" s="82" t="str">
        <f>_xll.BLUEMATRIX2("/servlet/excelData",K187,$B$1,$B187&amp;":"&amp;K$115&amp;":"&amp;$R$114)</f>
        <v>#</v>
      </c>
      <c r="Z187" s="82" t="str">
        <f>_xll.BLUEMATRIX2("/servlet/excelData",L187,$B$1,$B187&amp;":"&amp;L$115&amp;":"&amp;$R$114)</f>
        <v>#</v>
      </c>
      <c r="AA187" s="82" t="str">
        <f>_xll.BLUEMATRIX2("/servlet/excelData",M187,$B$1,$B187&amp;":"&amp;M$115&amp;":"&amp;$R$114)</f>
        <v>#</v>
      </c>
      <c r="AB187" s="82" t="str">
        <f>_xll.BLUEMATRIX2("/servlet/excelData",N187,$B$1,$B187&amp;":"&amp;N$115&amp;":"&amp;$R$114)</f>
        <v>#</v>
      </c>
      <c r="AC187" s="82" t="str">
        <f>_xll.BLUEMATRIX2("/servlet/excelData",O187,$B$1,$B187&amp;":"&amp;O$115&amp;":"&amp;$R$114)</f>
        <v>#</v>
      </c>
      <c r="AD187" s="82" t="str">
        <f>_xll.BLUEMATRIX2("/servlet/excelData",P187,$B$1,$B187&amp;":"&amp;P$115&amp;":"&amp;$R$114)</f>
        <v>#</v>
      </c>
      <c r="AE187" s="82" t="str">
        <f>_xll.BLUEMATRIX2("/servlet/excelData",Q187,$B$1,$B187&amp;":"&amp;Q$115&amp;":"&amp;$R$114)</f>
        <v>#</v>
      </c>
    </row>
    <row r="188" spans="1:31" ht="12.95" customHeight="1" x14ac:dyDescent="0.2">
      <c r="A188" s="26" t="s">
        <v>747</v>
      </c>
      <c r="B188" s="29" t="s">
        <v>748</v>
      </c>
      <c r="C188" s="110" t="s">
        <v>749</v>
      </c>
      <c r="D188" s="111"/>
      <c r="E188" s="483"/>
      <c r="F188" s="483"/>
      <c r="G188" s="483"/>
      <c r="H188" s="483"/>
      <c r="I188" s="483"/>
      <c r="J188" s="483"/>
      <c r="K188" s="483"/>
      <c r="L188" s="483"/>
      <c r="M188" s="483"/>
      <c r="N188" s="483"/>
      <c r="O188" s="483"/>
      <c r="P188" s="483"/>
      <c r="Q188" s="483"/>
      <c r="R188" s="1"/>
      <c r="S188" s="82" t="str">
        <f>_xll.BLUEMATRIX2("/servlet/excelData",E188,$B$1,$B188&amp;":"&amp;E$115&amp;":"&amp;$R$114)</f>
        <v>#</v>
      </c>
      <c r="T188" s="82" t="str">
        <f>_xll.BLUEMATRIX2("/servlet/excelData",F188,$B$1,$B188&amp;":"&amp;F$115&amp;":"&amp;$R$114)</f>
        <v>#</v>
      </c>
      <c r="U188" s="82" t="str">
        <f>_xll.BLUEMATRIX2("/servlet/excelData",G188,$B$1,$B188&amp;":"&amp;G$115&amp;":"&amp;$R$114)</f>
        <v>#</v>
      </c>
      <c r="V188" s="82" t="str">
        <f>_xll.BLUEMATRIX2("/servlet/excelData",H188,$B$1,$B188&amp;":"&amp;H$115&amp;":"&amp;$R$114)</f>
        <v>#</v>
      </c>
      <c r="W188" s="82" t="str">
        <f>_xll.BLUEMATRIX2("/servlet/excelData",I188,$B$1,$B188&amp;":"&amp;I$115&amp;":"&amp;$R$114)</f>
        <v>#</v>
      </c>
      <c r="X188" s="82" t="str">
        <f>_xll.BLUEMATRIX2("/servlet/excelData",J188,$B$1,$B188&amp;":"&amp;J$115&amp;":"&amp;$R$114)</f>
        <v>#</v>
      </c>
      <c r="Y188" s="82" t="str">
        <f>_xll.BLUEMATRIX2("/servlet/excelData",K188,$B$1,$B188&amp;":"&amp;K$115&amp;":"&amp;$R$114)</f>
        <v>#</v>
      </c>
      <c r="Z188" s="82" t="str">
        <f>_xll.BLUEMATRIX2("/servlet/excelData",L188,$B$1,$B188&amp;":"&amp;L$115&amp;":"&amp;$R$114)</f>
        <v>#</v>
      </c>
      <c r="AA188" s="82" t="str">
        <f>_xll.BLUEMATRIX2("/servlet/excelData",M188,$B$1,$B188&amp;":"&amp;M$115&amp;":"&amp;$R$114)</f>
        <v>#</v>
      </c>
      <c r="AB188" s="82" t="str">
        <f>_xll.BLUEMATRIX2("/servlet/excelData",N188,$B$1,$B188&amp;":"&amp;N$115&amp;":"&amp;$R$114)</f>
        <v>#</v>
      </c>
      <c r="AC188" s="82" t="str">
        <f>_xll.BLUEMATRIX2("/servlet/excelData",O188,$B$1,$B188&amp;":"&amp;O$115&amp;":"&amp;$R$114)</f>
        <v>#</v>
      </c>
      <c r="AD188" s="82" t="str">
        <f>_xll.BLUEMATRIX2("/servlet/excelData",P188,$B$1,$B188&amp;":"&amp;P$115&amp;":"&amp;$R$114)</f>
        <v>#</v>
      </c>
      <c r="AE188" s="82" t="str">
        <f>_xll.BLUEMATRIX2("/servlet/excelData",Q188,$B$1,$B188&amp;":"&amp;Q$115&amp;":"&amp;$R$114)</f>
        <v>#</v>
      </c>
    </row>
    <row r="189" spans="1:31" ht="12.95" customHeight="1" x14ac:dyDescent="0.2">
      <c r="A189" s="26" t="s">
        <v>750</v>
      </c>
      <c r="B189" s="29" t="s">
        <v>751</v>
      </c>
      <c r="C189" s="110" t="s">
        <v>752</v>
      </c>
      <c r="D189" s="111"/>
      <c r="E189" s="483"/>
      <c r="F189" s="483"/>
      <c r="G189" s="483"/>
      <c r="H189" s="483"/>
      <c r="I189" s="483"/>
      <c r="J189" s="483"/>
      <c r="K189" s="483"/>
      <c r="L189" s="483"/>
      <c r="M189" s="483"/>
      <c r="N189" s="483"/>
      <c r="O189" s="483"/>
      <c r="P189" s="483"/>
      <c r="Q189" s="483"/>
      <c r="R189" s="1"/>
      <c r="S189" s="82" t="str">
        <f>_xll.BLUEMATRIX2("/servlet/excelData",E189,$B$1,$B189&amp;":"&amp;E$115&amp;":"&amp;$R$114)</f>
        <v>#</v>
      </c>
      <c r="T189" s="82" t="str">
        <f>_xll.BLUEMATRIX2("/servlet/excelData",F189,$B$1,$B189&amp;":"&amp;F$115&amp;":"&amp;$R$114)</f>
        <v>#</v>
      </c>
      <c r="U189" s="82" t="str">
        <f>_xll.BLUEMATRIX2("/servlet/excelData",G189,$B$1,$B189&amp;":"&amp;G$115&amp;":"&amp;$R$114)</f>
        <v>#</v>
      </c>
      <c r="V189" s="82" t="str">
        <f>_xll.BLUEMATRIX2("/servlet/excelData",H189,$B$1,$B189&amp;":"&amp;H$115&amp;":"&amp;$R$114)</f>
        <v>#</v>
      </c>
      <c r="W189" s="82" t="str">
        <f>_xll.BLUEMATRIX2("/servlet/excelData",I189,$B$1,$B189&amp;":"&amp;I$115&amp;":"&amp;$R$114)</f>
        <v>#</v>
      </c>
      <c r="X189" s="82" t="str">
        <f>_xll.BLUEMATRIX2("/servlet/excelData",J189,$B$1,$B189&amp;":"&amp;J$115&amp;":"&amp;$R$114)</f>
        <v>#</v>
      </c>
      <c r="Y189" s="82" t="str">
        <f>_xll.BLUEMATRIX2("/servlet/excelData",K189,$B$1,$B189&amp;":"&amp;K$115&amp;":"&amp;$R$114)</f>
        <v>#</v>
      </c>
      <c r="Z189" s="82" t="str">
        <f>_xll.BLUEMATRIX2("/servlet/excelData",L189,$B$1,$B189&amp;":"&amp;L$115&amp;":"&amp;$R$114)</f>
        <v>#</v>
      </c>
      <c r="AA189" s="82" t="str">
        <f>_xll.BLUEMATRIX2("/servlet/excelData",M189,$B$1,$B189&amp;":"&amp;M$115&amp;":"&amp;$R$114)</f>
        <v>#</v>
      </c>
      <c r="AB189" s="82" t="str">
        <f>_xll.BLUEMATRIX2("/servlet/excelData",N189,$B$1,$B189&amp;":"&amp;N$115&amp;":"&amp;$R$114)</f>
        <v>#</v>
      </c>
      <c r="AC189" s="82" t="str">
        <f>_xll.BLUEMATRIX2("/servlet/excelData",O189,$B$1,$B189&amp;":"&amp;O$115&amp;":"&amp;$R$114)</f>
        <v>#</v>
      </c>
      <c r="AD189" s="82" t="str">
        <f>_xll.BLUEMATRIX2("/servlet/excelData",P189,$B$1,$B189&amp;":"&amp;P$115&amp;":"&amp;$R$114)</f>
        <v>#</v>
      </c>
      <c r="AE189" s="82" t="str">
        <f>_xll.BLUEMATRIX2("/servlet/excelData",Q189,$B$1,$B189&amp;":"&amp;Q$115&amp;":"&amp;$R$114)</f>
        <v>#</v>
      </c>
    </row>
    <row r="190" spans="1:31" ht="12.95" customHeight="1" x14ac:dyDescent="0.2">
      <c r="A190" s="26" t="s">
        <v>753</v>
      </c>
      <c r="B190" s="29" t="s">
        <v>754</v>
      </c>
      <c r="C190" s="110" t="s">
        <v>198</v>
      </c>
      <c r="D190" s="111"/>
      <c r="E190" s="483">
        <f>FY!E202+FY!E203</f>
        <v>0</v>
      </c>
      <c r="F190" s="483">
        <f>FY!F202+FY!F203</f>
        <v>0</v>
      </c>
      <c r="G190" s="483">
        <f>FY!G202+FY!G203</f>
        <v>0.60000000000000009</v>
      </c>
      <c r="H190" s="483">
        <f>FY!H202+FY!H203</f>
        <v>6.3000000000000007</v>
      </c>
      <c r="I190" s="483">
        <f>FY!I202+FY!I203</f>
        <v>5.5</v>
      </c>
      <c r="J190" s="483">
        <f>FY!J202+FY!J203</f>
        <v>5.5</v>
      </c>
      <c r="K190" s="483">
        <f>FY!K202+FY!K203</f>
        <v>5.5</v>
      </c>
      <c r="L190" s="483">
        <f>FY!L202+FY!L203</f>
        <v>5.5</v>
      </c>
      <c r="M190" s="483">
        <f>FY!M202+FY!M203</f>
        <v>5.5</v>
      </c>
      <c r="N190" s="483">
        <f>FY!N202+FY!N203</f>
        <v>5.5</v>
      </c>
      <c r="O190" s="483">
        <f>FY!O202+FY!O203</f>
        <v>5.5</v>
      </c>
      <c r="P190" s="483">
        <f>FY!P202+FY!P203</f>
        <v>5.5</v>
      </c>
      <c r="Q190" s="483">
        <f>FY!Q202+FY!Q203</f>
        <v>5.5</v>
      </c>
      <c r="R190" s="1"/>
      <c r="S190" s="82" t="str">
        <f>_xll.BLUEMATRIX2("/servlet/excelData",E190,$B$1,$B190&amp;":"&amp;E$115&amp;":"&amp;$R$114)</f>
        <v>#</v>
      </c>
      <c r="T190" s="82" t="str">
        <f>_xll.BLUEMATRIX2("/servlet/excelData",F190,$B$1,$B190&amp;":"&amp;F$115&amp;":"&amp;$R$114)</f>
        <v>#</v>
      </c>
      <c r="U190" s="82" t="str">
        <f>_xll.BLUEMATRIX2("/servlet/excelData",G190,$B$1,$B190&amp;":"&amp;G$115&amp;":"&amp;$R$114)</f>
        <v>#</v>
      </c>
      <c r="V190" s="82" t="str">
        <f>_xll.BLUEMATRIX2("/servlet/excelData",H190,$B$1,$B190&amp;":"&amp;H$115&amp;":"&amp;$R$114)</f>
        <v>#</v>
      </c>
      <c r="W190" s="82" t="str">
        <f>_xll.BLUEMATRIX2("/servlet/excelData",I190,$B$1,$B190&amp;":"&amp;I$115&amp;":"&amp;$R$114)</f>
        <v>#</v>
      </c>
      <c r="X190" s="82" t="str">
        <f>_xll.BLUEMATRIX2("/servlet/excelData",J190,$B$1,$B190&amp;":"&amp;J$115&amp;":"&amp;$R$114)</f>
        <v>#</v>
      </c>
      <c r="Y190" s="82" t="str">
        <f>_xll.BLUEMATRIX2("/servlet/excelData",K190,$B$1,$B190&amp;":"&amp;K$115&amp;":"&amp;$R$114)</f>
        <v>#</v>
      </c>
      <c r="Z190" s="82" t="str">
        <f>_xll.BLUEMATRIX2("/servlet/excelData",L190,$B$1,$B190&amp;":"&amp;L$115&amp;":"&amp;$R$114)</f>
        <v>#</v>
      </c>
      <c r="AA190" s="82" t="str">
        <f>_xll.BLUEMATRIX2("/servlet/excelData",M190,$B$1,$B190&amp;":"&amp;M$115&amp;":"&amp;$R$114)</f>
        <v>#</v>
      </c>
      <c r="AB190" s="82" t="str">
        <f>_xll.BLUEMATRIX2("/servlet/excelData",N190,$B$1,$B190&amp;":"&amp;N$115&amp;":"&amp;$R$114)</f>
        <v>#</v>
      </c>
      <c r="AC190" s="82" t="str">
        <f>_xll.BLUEMATRIX2("/servlet/excelData",O190,$B$1,$B190&amp;":"&amp;O$115&amp;":"&amp;$R$114)</f>
        <v>#</v>
      </c>
      <c r="AD190" s="82" t="str">
        <f>_xll.BLUEMATRIX2("/servlet/excelData",P190,$B$1,$B190&amp;":"&amp;P$115&amp;":"&amp;$R$114)</f>
        <v>#</v>
      </c>
      <c r="AE190" s="82" t="str">
        <f>_xll.BLUEMATRIX2("/servlet/excelData",Q190,$B$1,$B190&amp;":"&amp;Q$115&amp;":"&amp;$R$114)</f>
        <v>#</v>
      </c>
    </row>
    <row r="191" spans="1:31" ht="12.95" customHeight="1" x14ac:dyDescent="0.2">
      <c r="A191" s="26" t="s">
        <v>755</v>
      </c>
      <c r="B191" s="29" t="s">
        <v>756</v>
      </c>
      <c r="C191" s="110" t="s">
        <v>757</v>
      </c>
      <c r="D191" s="111"/>
      <c r="E191" s="483">
        <f>FY!E206</f>
        <v>0</v>
      </c>
      <c r="F191" s="483">
        <f>FY!F206</f>
        <v>0</v>
      </c>
      <c r="G191" s="483">
        <f>FY!G206</f>
        <v>6.6</v>
      </c>
      <c r="H191" s="483">
        <f>FY!H206</f>
        <v>0</v>
      </c>
      <c r="I191" s="483">
        <f>FY!I206</f>
        <v>0</v>
      </c>
      <c r="J191" s="483">
        <f>FY!J206</f>
        <v>0</v>
      </c>
      <c r="K191" s="483">
        <f>FY!K206</f>
        <v>0</v>
      </c>
      <c r="L191" s="483">
        <f>FY!L206</f>
        <v>0</v>
      </c>
      <c r="M191" s="483">
        <f>FY!M206</f>
        <v>0</v>
      </c>
      <c r="N191" s="483">
        <f>FY!N206</f>
        <v>0</v>
      </c>
      <c r="O191" s="483">
        <f>FY!O206</f>
        <v>0</v>
      </c>
      <c r="P191" s="483">
        <f>FY!P206</f>
        <v>0</v>
      </c>
      <c r="Q191" s="483">
        <f>FY!Q206</f>
        <v>0</v>
      </c>
      <c r="R191" s="1"/>
      <c r="S191" s="82" t="str">
        <f>_xll.BLUEMATRIX2("/servlet/excelData",E191,$B$1,$B191&amp;":"&amp;E$115&amp;":"&amp;$R$114)</f>
        <v>#</v>
      </c>
      <c r="T191" s="82" t="str">
        <f>_xll.BLUEMATRIX2("/servlet/excelData",F191,$B$1,$B191&amp;":"&amp;F$115&amp;":"&amp;$R$114)</f>
        <v>#</v>
      </c>
      <c r="U191" s="82" t="str">
        <f>_xll.BLUEMATRIX2("/servlet/excelData",G191,$B$1,$B191&amp;":"&amp;G$115&amp;":"&amp;$R$114)</f>
        <v>#</v>
      </c>
      <c r="V191" s="82" t="str">
        <f>_xll.BLUEMATRIX2("/servlet/excelData",H191,$B$1,$B191&amp;":"&amp;H$115&amp;":"&amp;$R$114)</f>
        <v>#</v>
      </c>
      <c r="W191" s="82" t="str">
        <f>_xll.BLUEMATRIX2("/servlet/excelData",I191,$B$1,$B191&amp;":"&amp;I$115&amp;":"&amp;$R$114)</f>
        <v>#</v>
      </c>
      <c r="X191" s="82" t="str">
        <f>_xll.BLUEMATRIX2("/servlet/excelData",J191,$B$1,$B191&amp;":"&amp;J$115&amp;":"&amp;$R$114)</f>
        <v>#</v>
      </c>
      <c r="Y191" s="82" t="str">
        <f>_xll.BLUEMATRIX2("/servlet/excelData",K191,$B$1,$B191&amp;":"&amp;K$115&amp;":"&amp;$R$114)</f>
        <v>#</v>
      </c>
      <c r="Z191" s="82" t="str">
        <f>_xll.BLUEMATRIX2("/servlet/excelData",L191,$B$1,$B191&amp;":"&amp;L$115&amp;":"&amp;$R$114)</f>
        <v>#</v>
      </c>
      <c r="AA191" s="82" t="str">
        <f>_xll.BLUEMATRIX2("/servlet/excelData",M191,$B$1,$B191&amp;":"&amp;M$115&amp;":"&amp;$R$114)</f>
        <v>#</v>
      </c>
      <c r="AB191" s="82" t="str">
        <f>_xll.BLUEMATRIX2("/servlet/excelData",N191,$B$1,$B191&amp;":"&amp;N$115&amp;":"&amp;$R$114)</f>
        <v>#</v>
      </c>
      <c r="AC191" s="82" t="str">
        <f>_xll.BLUEMATRIX2("/servlet/excelData",O191,$B$1,$B191&amp;":"&amp;O$115&amp;":"&amp;$R$114)</f>
        <v>#</v>
      </c>
      <c r="AD191" s="82" t="str">
        <f>_xll.BLUEMATRIX2("/servlet/excelData",P191,$B$1,$B191&amp;":"&amp;P$115&amp;":"&amp;$R$114)</f>
        <v>#</v>
      </c>
      <c r="AE191" s="82" t="str">
        <f>_xll.BLUEMATRIX2("/servlet/excelData",Q191,$B$1,$B191&amp;":"&amp;Q$115&amp;":"&amp;$R$114)</f>
        <v>#</v>
      </c>
    </row>
    <row r="192" spans="1:31" ht="12.95" customHeight="1" x14ac:dyDescent="0.2">
      <c r="A192" s="26" t="s">
        <v>758</v>
      </c>
      <c r="B192" s="29" t="s">
        <v>759</v>
      </c>
      <c r="C192" s="110" t="s">
        <v>170</v>
      </c>
      <c r="D192" s="111"/>
      <c r="E192" s="483">
        <f>FY!E204</f>
        <v>0</v>
      </c>
      <c r="F192" s="483">
        <f>FY!F204</f>
        <v>0</v>
      </c>
      <c r="G192" s="483">
        <f>FY!G204</f>
        <v>0</v>
      </c>
      <c r="H192" s="483">
        <f>FY!H204</f>
        <v>40.200000000000003</v>
      </c>
      <c r="I192" s="483">
        <f>FY!I204</f>
        <v>40.200000000000003</v>
      </c>
      <c r="J192" s="483">
        <f>FY!J204</f>
        <v>40.200000000000003</v>
      </c>
      <c r="K192" s="483">
        <f>FY!K204</f>
        <v>40.200000000000003</v>
      </c>
      <c r="L192" s="483">
        <f>FY!L204</f>
        <v>40.200000000000003</v>
      </c>
      <c r="M192" s="483">
        <f>FY!M204</f>
        <v>40.200000000000003</v>
      </c>
      <c r="N192" s="483">
        <f>FY!N204</f>
        <v>40.200000000000003</v>
      </c>
      <c r="O192" s="483">
        <f>FY!O204</f>
        <v>40.200000000000003</v>
      </c>
      <c r="P192" s="483">
        <f>FY!P204</f>
        <v>40.200000000000003</v>
      </c>
      <c r="Q192" s="483">
        <f>FY!Q204</f>
        <v>40.200000000000003</v>
      </c>
      <c r="R192" s="1"/>
      <c r="S192" s="82" t="str">
        <f>_xll.BLUEMATRIX2("/servlet/excelData",E192,$B$1,$B192&amp;":"&amp;E$115&amp;":"&amp;$R$114)</f>
        <v>#</v>
      </c>
      <c r="T192" s="82" t="str">
        <f>_xll.BLUEMATRIX2("/servlet/excelData",F192,$B$1,$B192&amp;":"&amp;F$115&amp;":"&amp;$R$114)</f>
        <v>#</v>
      </c>
      <c r="U192" s="82" t="str">
        <f>_xll.BLUEMATRIX2("/servlet/excelData",G192,$B$1,$B192&amp;":"&amp;G$115&amp;":"&amp;$R$114)</f>
        <v>#</v>
      </c>
      <c r="V192" s="82" t="str">
        <f>_xll.BLUEMATRIX2("/servlet/excelData",H192,$B$1,$B192&amp;":"&amp;H$115&amp;":"&amp;$R$114)</f>
        <v>#</v>
      </c>
      <c r="W192" s="82" t="str">
        <f>_xll.BLUEMATRIX2("/servlet/excelData",I192,$B$1,$B192&amp;":"&amp;I$115&amp;":"&amp;$R$114)</f>
        <v>#</v>
      </c>
      <c r="X192" s="82" t="str">
        <f>_xll.BLUEMATRIX2("/servlet/excelData",J192,$B$1,$B192&amp;":"&amp;J$115&amp;":"&amp;$R$114)</f>
        <v>#</v>
      </c>
      <c r="Y192" s="82" t="str">
        <f>_xll.BLUEMATRIX2("/servlet/excelData",K192,$B$1,$B192&amp;":"&amp;K$115&amp;":"&amp;$R$114)</f>
        <v>#</v>
      </c>
      <c r="Z192" s="82" t="str">
        <f>_xll.BLUEMATRIX2("/servlet/excelData",L192,$B$1,$B192&amp;":"&amp;L$115&amp;":"&amp;$R$114)</f>
        <v>#</v>
      </c>
      <c r="AA192" s="82" t="str">
        <f>_xll.BLUEMATRIX2("/servlet/excelData",M192,$B$1,$B192&amp;":"&amp;M$115&amp;":"&amp;$R$114)</f>
        <v>#</v>
      </c>
      <c r="AB192" s="82" t="str">
        <f>_xll.BLUEMATRIX2("/servlet/excelData",N192,$B$1,$B192&amp;":"&amp;N$115&amp;":"&amp;$R$114)</f>
        <v>#</v>
      </c>
      <c r="AC192" s="82" t="str">
        <f>_xll.BLUEMATRIX2("/servlet/excelData",O192,$B$1,$B192&amp;":"&amp;O$115&amp;":"&amp;$R$114)</f>
        <v>#</v>
      </c>
      <c r="AD192" s="82" t="str">
        <f>_xll.BLUEMATRIX2("/servlet/excelData",P192,$B$1,$B192&amp;":"&amp;P$115&amp;":"&amp;$R$114)</f>
        <v>#</v>
      </c>
      <c r="AE192" s="82" t="str">
        <f>_xll.BLUEMATRIX2("/servlet/excelData",Q192,$B$1,$B192&amp;":"&amp;Q$115&amp;":"&amp;$R$114)</f>
        <v>#</v>
      </c>
    </row>
    <row r="193" spans="1:31" ht="12.95" customHeight="1" x14ac:dyDescent="0.2">
      <c r="A193" s="26" t="s">
        <v>760</v>
      </c>
      <c r="B193" s="29" t="s">
        <v>761</v>
      </c>
      <c r="C193" s="110" t="s">
        <v>762</v>
      </c>
      <c r="D193" s="111"/>
      <c r="E193" s="483">
        <f>FY!E205</f>
        <v>0</v>
      </c>
      <c r="F193" s="483">
        <f>FY!F205</f>
        <v>0</v>
      </c>
      <c r="G193" s="483">
        <f>FY!G205</f>
        <v>3.1</v>
      </c>
      <c r="H193" s="483">
        <f>FY!H205</f>
        <v>49.399999999999991</v>
      </c>
      <c r="I193" s="483">
        <f>FY!I205</f>
        <v>46.8</v>
      </c>
      <c r="J193" s="483">
        <f>FY!J205</f>
        <v>46.65194028833649</v>
      </c>
      <c r="K193" s="483">
        <f>FY!K205</f>
        <v>47.007964346559383</v>
      </c>
      <c r="L193" s="483">
        <f>FY!L205</f>
        <v>47.788126675720065</v>
      </c>
      <c r="M193" s="483">
        <f>FY!M205</f>
        <v>47.994407024537118</v>
      </c>
      <c r="N193" s="483">
        <f>FY!N205</f>
        <v>48.659800919841096</v>
      </c>
      <c r="O193" s="483">
        <f>FY!O205</f>
        <v>49.715001375849049</v>
      </c>
      <c r="P193" s="483">
        <f>FY!P205</f>
        <v>51.106203098345055</v>
      </c>
      <c r="Q193" s="483">
        <f>FY!Q205</f>
        <v>52.791978390254592</v>
      </c>
      <c r="R193" s="1"/>
      <c r="S193" s="82" t="str">
        <f>_xll.BLUEMATRIX2("/servlet/excelData",E193,$B$1,$B193&amp;":"&amp;E$115&amp;":"&amp;$R$114)</f>
        <v>#</v>
      </c>
      <c r="T193" s="82" t="str">
        <f>_xll.BLUEMATRIX2("/servlet/excelData",F193,$B$1,$B193&amp;":"&amp;F$115&amp;":"&amp;$R$114)</f>
        <v>#</v>
      </c>
      <c r="U193" s="82" t="str">
        <f>_xll.BLUEMATRIX2("/servlet/excelData",G193,$B$1,$B193&amp;":"&amp;G$115&amp;":"&amp;$R$114)</f>
        <v>#</v>
      </c>
      <c r="V193" s="82" t="str">
        <f>_xll.BLUEMATRIX2("/servlet/excelData",H193,$B$1,$B193&amp;":"&amp;H$115&amp;":"&amp;$R$114)</f>
        <v>#</v>
      </c>
      <c r="W193" s="82" t="str">
        <f>_xll.BLUEMATRIX2("/servlet/excelData",I193,$B$1,$B193&amp;":"&amp;I$115&amp;":"&amp;$R$114)</f>
        <v>#</v>
      </c>
      <c r="X193" s="82" t="str">
        <f>_xll.BLUEMATRIX2("/servlet/excelData",J193,$B$1,$B193&amp;":"&amp;J$115&amp;":"&amp;$R$114)</f>
        <v>#</v>
      </c>
      <c r="Y193" s="82" t="str">
        <f>_xll.BLUEMATRIX2("/servlet/excelData",K193,$B$1,$B193&amp;":"&amp;K$115&amp;":"&amp;$R$114)</f>
        <v>#</v>
      </c>
      <c r="Z193" s="82" t="str">
        <f>_xll.BLUEMATRIX2("/servlet/excelData",L193,$B$1,$B193&amp;":"&amp;L$115&amp;":"&amp;$R$114)</f>
        <v>#</v>
      </c>
      <c r="AA193" s="82" t="str">
        <f>_xll.BLUEMATRIX2("/servlet/excelData",M193,$B$1,$B193&amp;":"&amp;M$115&amp;":"&amp;$R$114)</f>
        <v>#</v>
      </c>
      <c r="AB193" s="82" t="str">
        <f>_xll.BLUEMATRIX2("/servlet/excelData",N193,$B$1,$B193&amp;":"&amp;N$115&amp;":"&amp;$R$114)</f>
        <v>#</v>
      </c>
      <c r="AC193" s="82" t="str">
        <f>_xll.BLUEMATRIX2("/servlet/excelData",O193,$B$1,$B193&amp;":"&amp;O$115&amp;":"&amp;$R$114)</f>
        <v>#</v>
      </c>
      <c r="AD193" s="82" t="str">
        <f>_xll.BLUEMATRIX2("/servlet/excelData",P193,$B$1,$B193&amp;":"&amp;P$115&amp;":"&amp;$R$114)</f>
        <v>#</v>
      </c>
      <c r="AE193" s="82" t="str">
        <f>_xll.BLUEMATRIX2("/servlet/excelData",Q193,$B$1,$B193&amp;":"&amp;Q$115&amp;":"&amp;$R$114)</f>
        <v>#</v>
      </c>
    </row>
    <row r="194" spans="1:31" ht="12.95" customHeight="1" x14ac:dyDescent="0.2">
      <c r="A194" s="26" t="s">
        <v>763</v>
      </c>
      <c r="B194" s="29" t="s">
        <v>764</v>
      </c>
      <c r="C194" s="110" t="s">
        <v>765</v>
      </c>
      <c r="D194" s="111"/>
      <c r="E194" s="483">
        <f>FY!E207+FY!E201</f>
        <v>0</v>
      </c>
      <c r="F194" s="483">
        <f>FY!F207+FY!F201</f>
        <v>0</v>
      </c>
      <c r="G194" s="483">
        <f>FY!G207+FY!G201</f>
        <v>0.1</v>
      </c>
      <c r="H194" s="483">
        <f>FY!H207+FY!H201</f>
        <v>78.3</v>
      </c>
      <c r="I194" s="483">
        <f>FY!I207+FY!I201</f>
        <v>90.1</v>
      </c>
      <c r="J194" s="483">
        <f>FY!J207+FY!J201</f>
        <v>90.1</v>
      </c>
      <c r="K194" s="483">
        <f>FY!K207+FY!K201</f>
        <v>90.1</v>
      </c>
      <c r="L194" s="483">
        <f>FY!L207+FY!L201</f>
        <v>90.1</v>
      </c>
      <c r="M194" s="483">
        <f>FY!M207+FY!M201</f>
        <v>90.1</v>
      </c>
      <c r="N194" s="483">
        <f>FY!N207+FY!N201</f>
        <v>90.1</v>
      </c>
      <c r="O194" s="483">
        <f>FY!O207+FY!O201</f>
        <v>90.1</v>
      </c>
      <c r="P194" s="483">
        <f>FY!P207+FY!P201</f>
        <v>90.1</v>
      </c>
      <c r="Q194" s="483">
        <f>FY!Q207+FY!Q201</f>
        <v>90.1</v>
      </c>
      <c r="R194" s="1"/>
      <c r="S194" s="82" t="str">
        <f>_xll.BLUEMATRIX2("/servlet/excelData",E194,$B$1,$B194&amp;":"&amp;E$115&amp;":"&amp;$R$114)</f>
        <v>#</v>
      </c>
      <c r="T194" s="82" t="str">
        <f>_xll.BLUEMATRIX2("/servlet/excelData",F194,$B$1,$B194&amp;":"&amp;F$115&amp;":"&amp;$R$114)</f>
        <v>#</v>
      </c>
      <c r="U194" s="82" t="str">
        <f>_xll.BLUEMATRIX2("/servlet/excelData",G194,$B$1,$B194&amp;":"&amp;G$115&amp;":"&amp;$R$114)</f>
        <v>#</v>
      </c>
      <c r="V194" s="82" t="str">
        <f>_xll.BLUEMATRIX2("/servlet/excelData",H194,$B$1,$B194&amp;":"&amp;H$115&amp;":"&amp;$R$114)</f>
        <v>#</v>
      </c>
      <c r="W194" s="82" t="str">
        <f>_xll.BLUEMATRIX2("/servlet/excelData",I194,$B$1,$B194&amp;":"&amp;I$115&amp;":"&amp;$R$114)</f>
        <v>#</v>
      </c>
      <c r="X194" s="82" t="str">
        <f>_xll.BLUEMATRIX2("/servlet/excelData",J194,$B$1,$B194&amp;":"&amp;J$115&amp;":"&amp;$R$114)</f>
        <v>#</v>
      </c>
      <c r="Y194" s="82" t="str">
        <f>_xll.BLUEMATRIX2("/servlet/excelData",K194,$B$1,$B194&amp;":"&amp;K$115&amp;":"&amp;$R$114)</f>
        <v>#</v>
      </c>
      <c r="Z194" s="82" t="str">
        <f>_xll.BLUEMATRIX2("/servlet/excelData",L194,$B$1,$B194&amp;":"&amp;L$115&amp;":"&amp;$R$114)</f>
        <v>#</v>
      </c>
      <c r="AA194" s="82" t="str">
        <f>_xll.BLUEMATRIX2("/servlet/excelData",M194,$B$1,$B194&amp;":"&amp;M$115&amp;":"&amp;$R$114)</f>
        <v>#</v>
      </c>
      <c r="AB194" s="82" t="str">
        <f>_xll.BLUEMATRIX2("/servlet/excelData",N194,$B$1,$B194&amp;":"&amp;N$115&amp;":"&amp;$R$114)</f>
        <v>#</v>
      </c>
      <c r="AC194" s="82" t="str">
        <f>_xll.BLUEMATRIX2("/servlet/excelData",O194,$B$1,$B194&amp;":"&amp;O$115&amp;":"&amp;$R$114)</f>
        <v>#</v>
      </c>
      <c r="AD194" s="82" t="str">
        <f>_xll.BLUEMATRIX2("/servlet/excelData",P194,$B$1,$B194&amp;":"&amp;P$115&amp;":"&amp;$R$114)</f>
        <v>#</v>
      </c>
      <c r="AE194" s="82" t="str">
        <f>_xll.BLUEMATRIX2("/servlet/excelData",Q194,$B$1,$B194&amp;":"&amp;Q$115&amp;":"&amp;$R$114)</f>
        <v>#</v>
      </c>
    </row>
    <row r="195" spans="1:31" ht="12.95" customHeight="1" x14ac:dyDescent="0.2">
      <c r="A195" s="26" t="s">
        <v>766</v>
      </c>
      <c r="B195" s="29" t="s">
        <v>767</v>
      </c>
      <c r="C195" s="129" t="s">
        <v>768</v>
      </c>
      <c r="D195" s="117"/>
      <c r="E195" s="117">
        <f t="shared" ref="E195:Q195" si="20">E188+E189+E190+E191+E192+E193+E194</f>
        <v>0</v>
      </c>
      <c r="F195" s="117">
        <f t="shared" si="20"/>
        <v>0</v>
      </c>
      <c r="G195" s="117">
        <f t="shared" si="20"/>
        <v>10.399999999999999</v>
      </c>
      <c r="H195" s="117">
        <f t="shared" si="20"/>
        <v>174.2</v>
      </c>
      <c r="I195" s="117">
        <f t="shared" si="20"/>
        <v>182.6</v>
      </c>
      <c r="J195" s="117">
        <f t="shared" si="20"/>
        <v>182.45194028833649</v>
      </c>
      <c r="K195" s="117">
        <f t="shared" si="20"/>
        <v>182.80796434655937</v>
      </c>
      <c r="L195" s="117">
        <f t="shared" si="20"/>
        <v>183.58812667572005</v>
      </c>
      <c r="M195" s="117">
        <f t="shared" si="20"/>
        <v>183.79440702453712</v>
      </c>
      <c r="N195" s="117">
        <f t="shared" si="20"/>
        <v>184.45980091984109</v>
      </c>
      <c r="O195" s="117">
        <f t="shared" si="20"/>
        <v>185.51500137584904</v>
      </c>
      <c r="P195" s="117">
        <f t="shared" si="20"/>
        <v>186.90620309834506</v>
      </c>
      <c r="Q195" s="117">
        <f t="shared" si="20"/>
        <v>188.59197839025458</v>
      </c>
      <c r="R195" s="112"/>
      <c r="S195" s="82" t="str">
        <f>_xll.BLUEMATRIX2("/servlet/excelData",E195,$B$1,$B195&amp;":"&amp;E$115&amp;":"&amp;$R$114)</f>
        <v>#</v>
      </c>
      <c r="T195" s="82" t="str">
        <f>_xll.BLUEMATRIX2("/servlet/excelData",F195,$B$1,$B195&amp;":"&amp;F$115&amp;":"&amp;$R$114)</f>
        <v>#</v>
      </c>
      <c r="U195" s="82" t="str">
        <f>_xll.BLUEMATRIX2("/servlet/excelData",G195,$B$1,$B195&amp;":"&amp;G$115&amp;":"&amp;$R$114)</f>
        <v>#</v>
      </c>
      <c r="V195" s="82" t="str">
        <f>_xll.BLUEMATRIX2("/servlet/excelData",H195,$B$1,$B195&amp;":"&amp;H$115&amp;":"&amp;$R$114)</f>
        <v>#</v>
      </c>
      <c r="W195" s="82" t="str">
        <f>_xll.BLUEMATRIX2("/servlet/excelData",I195,$B$1,$B195&amp;":"&amp;I$115&amp;":"&amp;$R$114)</f>
        <v>#</v>
      </c>
      <c r="X195" s="82" t="str">
        <f>_xll.BLUEMATRIX2("/servlet/excelData",J195,$B$1,$B195&amp;":"&amp;J$115&amp;":"&amp;$R$114)</f>
        <v>#</v>
      </c>
      <c r="Y195" s="82" t="str">
        <f>_xll.BLUEMATRIX2("/servlet/excelData",K195,$B$1,$B195&amp;":"&amp;K$115&amp;":"&amp;$R$114)</f>
        <v>#</v>
      </c>
      <c r="Z195" s="82" t="str">
        <f>_xll.BLUEMATRIX2("/servlet/excelData",L195,$B$1,$B195&amp;":"&amp;L$115&amp;":"&amp;$R$114)</f>
        <v>#</v>
      </c>
      <c r="AA195" s="82" t="str">
        <f>_xll.BLUEMATRIX2("/servlet/excelData",M195,$B$1,$B195&amp;":"&amp;M$115&amp;":"&amp;$R$114)</f>
        <v>#</v>
      </c>
      <c r="AB195" s="82" t="str">
        <f>_xll.BLUEMATRIX2("/servlet/excelData",N195,$B$1,$B195&amp;":"&amp;N$115&amp;":"&amp;$R$114)</f>
        <v>#</v>
      </c>
      <c r="AC195" s="82" t="str">
        <f>_xll.BLUEMATRIX2("/servlet/excelData",O195,$B$1,$B195&amp;":"&amp;O$115&amp;":"&amp;$R$114)</f>
        <v>#</v>
      </c>
      <c r="AD195" s="82" t="str">
        <f>_xll.BLUEMATRIX2("/servlet/excelData",P195,$B$1,$B195&amp;":"&amp;P$115&amp;":"&amp;$R$114)</f>
        <v>#</v>
      </c>
      <c r="AE195" s="82" t="str">
        <f>_xll.BLUEMATRIX2("/servlet/excelData",Q195,$B$1,$B195&amp;":"&amp;Q$115&amp;":"&amp;$R$114)</f>
        <v>#</v>
      </c>
    </row>
    <row r="196" spans="1:31" ht="12.95" customHeight="1" x14ac:dyDescent="0.2">
      <c r="A196" s="26" t="s">
        <v>769</v>
      </c>
      <c r="B196" s="29" t="s">
        <v>770</v>
      </c>
      <c r="C196" s="116" t="s">
        <v>771</v>
      </c>
      <c r="D196" s="117"/>
      <c r="E196" s="117">
        <f t="shared" ref="E196:Q196" si="21">E183+E184</f>
        <v>0</v>
      </c>
      <c r="F196" s="117">
        <f t="shared" si="21"/>
        <v>0</v>
      </c>
      <c r="G196" s="117">
        <f t="shared" si="21"/>
        <v>1</v>
      </c>
      <c r="H196" s="117">
        <f t="shared" si="21"/>
        <v>1.3</v>
      </c>
      <c r="I196" s="117">
        <f t="shared" si="21"/>
        <v>1.1000000000000001</v>
      </c>
      <c r="J196" s="117">
        <f t="shared" si="21"/>
        <v>1.1892313202614384</v>
      </c>
      <c r="K196" s="117">
        <f t="shared" si="21"/>
        <v>1.2486928862745101</v>
      </c>
      <c r="L196" s="117">
        <f t="shared" si="21"/>
        <v>1.3111275305882357</v>
      </c>
      <c r="M196" s="117">
        <f t="shared" si="21"/>
        <v>1.3766839071176478</v>
      </c>
      <c r="N196" s="117">
        <f t="shared" si="21"/>
        <v>1.4455181024735302</v>
      </c>
      <c r="O196" s="117">
        <f t="shared" si="21"/>
        <v>1.517794007597207</v>
      </c>
      <c r="P196" s="117">
        <f t="shared" si="21"/>
        <v>1.5936837079770674</v>
      </c>
      <c r="Q196" s="117">
        <f t="shared" si="21"/>
        <v>1.6733678933759208</v>
      </c>
      <c r="R196" s="1"/>
      <c r="S196" s="82" t="str">
        <f>_xll.BLUEMATRIX2("/servlet/excelData",E196,$B$1,$B196&amp;":"&amp;E$115&amp;":"&amp;$R$114)</f>
        <v>#</v>
      </c>
      <c r="T196" s="82" t="str">
        <f>_xll.BLUEMATRIX2("/servlet/excelData",F196,$B$1,$B196&amp;":"&amp;F$115&amp;":"&amp;$R$114)</f>
        <v>#</v>
      </c>
      <c r="U196" s="82" t="str">
        <f>_xll.BLUEMATRIX2("/servlet/excelData",G196,$B$1,$B196&amp;":"&amp;G$115&amp;":"&amp;$R$114)</f>
        <v>#</v>
      </c>
      <c r="V196" s="82" t="str">
        <f>_xll.BLUEMATRIX2("/servlet/excelData",H196,$B$1,$B196&amp;":"&amp;H$115&amp;":"&amp;$R$114)</f>
        <v>#</v>
      </c>
      <c r="W196" s="82" t="str">
        <f>_xll.BLUEMATRIX2("/servlet/excelData",I196,$B$1,$B196&amp;":"&amp;I$115&amp;":"&amp;$R$114)</f>
        <v>#</v>
      </c>
      <c r="X196" s="82" t="str">
        <f>_xll.BLUEMATRIX2("/servlet/excelData",J196,$B$1,$B196&amp;":"&amp;J$115&amp;":"&amp;$R$114)</f>
        <v>#</v>
      </c>
      <c r="Y196" s="82" t="str">
        <f>_xll.BLUEMATRIX2("/servlet/excelData",K196,$B$1,$B196&amp;":"&amp;K$115&amp;":"&amp;$R$114)</f>
        <v>#</v>
      </c>
      <c r="Z196" s="82" t="str">
        <f>_xll.BLUEMATRIX2("/servlet/excelData",L196,$B$1,$B196&amp;":"&amp;L$115&amp;":"&amp;$R$114)</f>
        <v>#</v>
      </c>
      <c r="AA196" s="82" t="str">
        <f>_xll.BLUEMATRIX2("/servlet/excelData",M196,$B$1,$B196&amp;":"&amp;M$115&amp;":"&amp;$R$114)</f>
        <v>#</v>
      </c>
      <c r="AB196" s="82" t="str">
        <f>_xll.BLUEMATRIX2("/servlet/excelData",N196,$B$1,$B196&amp;":"&amp;N$115&amp;":"&amp;$R$114)</f>
        <v>#</v>
      </c>
      <c r="AC196" s="82" t="str">
        <f>_xll.BLUEMATRIX2("/servlet/excelData",O196,$B$1,$B196&amp;":"&amp;O$115&amp;":"&amp;$R$114)</f>
        <v>#</v>
      </c>
      <c r="AD196" s="82" t="str">
        <f>_xll.BLUEMATRIX2("/servlet/excelData",P196,$B$1,$B196&amp;":"&amp;P$115&amp;":"&amp;$R$114)</f>
        <v>#</v>
      </c>
      <c r="AE196" s="82" t="str">
        <f>_xll.BLUEMATRIX2("/servlet/excelData",Q196,$B$1,$B196&amp;":"&amp;Q$115&amp;":"&amp;$R$114)</f>
        <v>#</v>
      </c>
    </row>
    <row r="197" spans="1:31" ht="12.95" customHeight="1" x14ac:dyDescent="0.2">
      <c r="A197" s="26" t="s">
        <v>772</v>
      </c>
      <c r="B197" s="29" t="s">
        <v>773</v>
      </c>
      <c r="C197" s="118" t="s">
        <v>774</v>
      </c>
      <c r="D197" s="119"/>
      <c r="E197" s="119">
        <f t="shared" ref="E197:Q197" si="22">E187+E195</f>
        <v>0</v>
      </c>
      <c r="F197" s="119">
        <f t="shared" si="22"/>
        <v>0</v>
      </c>
      <c r="G197" s="119">
        <f t="shared" si="22"/>
        <v>37.4</v>
      </c>
      <c r="H197" s="119">
        <f t="shared" si="22"/>
        <v>282.7</v>
      </c>
      <c r="I197" s="119">
        <f t="shared" si="22"/>
        <v>213.7</v>
      </c>
      <c r="J197" s="119">
        <f t="shared" si="22"/>
        <v>215.37974083818881</v>
      </c>
      <c r="K197" s="119">
        <f t="shared" si="22"/>
        <v>222.29172774946883</v>
      </c>
      <c r="L197" s="119">
        <f t="shared" si="22"/>
        <v>232.37430561579953</v>
      </c>
      <c r="M197" s="119">
        <f t="shared" si="22"/>
        <v>244.60084961614106</v>
      </c>
      <c r="N197" s="119">
        <f t="shared" si="22"/>
        <v>258.80941425842121</v>
      </c>
      <c r="O197" s="119">
        <f t="shared" si="22"/>
        <v>274.26110253272566</v>
      </c>
      <c r="P197" s="119">
        <f t="shared" si="22"/>
        <v>290.97793242310047</v>
      </c>
      <c r="Q197" s="119">
        <f t="shared" si="22"/>
        <v>308.98142089774825</v>
      </c>
      <c r="R197" s="1"/>
      <c r="S197" s="82" t="str">
        <f>_xll.BLUEMATRIX2("/servlet/excelData",E197,$B$1,$B197&amp;":"&amp;E$115&amp;":"&amp;$R$114)</f>
        <v>#</v>
      </c>
      <c r="T197" s="82" t="str">
        <f>_xll.BLUEMATRIX2("/servlet/excelData",F197,$B$1,$B197&amp;":"&amp;F$115&amp;":"&amp;$R$114)</f>
        <v>#</v>
      </c>
      <c r="U197" s="82" t="str">
        <f>_xll.BLUEMATRIX2("/servlet/excelData",G197,$B$1,$B197&amp;":"&amp;G$115&amp;":"&amp;$R$114)</f>
        <v>#</v>
      </c>
      <c r="V197" s="82" t="str">
        <f>_xll.BLUEMATRIX2("/servlet/excelData",H197,$B$1,$B197&amp;":"&amp;H$115&amp;":"&amp;$R$114)</f>
        <v>#</v>
      </c>
      <c r="W197" s="82" t="str">
        <f>_xll.BLUEMATRIX2("/servlet/excelData",I197,$B$1,$B197&amp;":"&amp;I$115&amp;":"&amp;$R$114)</f>
        <v>#</v>
      </c>
      <c r="X197" s="82" t="str">
        <f>_xll.BLUEMATRIX2("/servlet/excelData",J197,$B$1,$B197&amp;":"&amp;J$115&amp;":"&amp;$R$114)</f>
        <v>#</v>
      </c>
      <c r="Y197" s="82" t="str">
        <f>_xll.BLUEMATRIX2("/servlet/excelData",K197,$B$1,$B197&amp;":"&amp;K$115&amp;":"&amp;$R$114)</f>
        <v>#</v>
      </c>
      <c r="Z197" s="82" t="str">
        <f>_xll.BLUEMATRIX2("/servlet/excelData",L197,$B$1,$B197&amp;":"&amp;L$115&amp;":"&amp;$R$114)</f>
        <v>#</v>
      </c>
      <c r="AA197" s="82" t="str">
        <f>_xll.BLUEMATRIX2("/servlet/excelData",M197,$B$1,$B197&amp;":"&amp;M$115&amp;":"&amp;$R$114)</f>
        <v>#</v>
      </c>
      <c r="AB197" s="82" t="str">
        <f>_xll.BLUEMATRIX2("/servlet/excelData",N197,$B$1,$B197&amp;":"&amp;N$115&amp;":"&amp;$R$114)</f>
        <v>#</v>
      </c>
      <c r="AC197" s="82" t="str">
        <f>_xll.BLUEMATRIX2("/servlet/excelData",O197,$B$1,$B197&amp;":"&amp;O$115&amp;":"&amp;$R$114)</f>
        <v>#</v>
      </c>
      <c r="AD197" s="82" t="str">
        <f>_xll.BLUEMATRIX2("/servlet/excelData",P197,$B$1,$B197&amp;":"&amp;P$115&amp;":"&amp;$R$114)</f>
        <v>#</v>
      </c>
      <c r="AE197" s="82" t="str">
        <f>_xll.BLUEMATRIX2("/servlet/excelData",Q197,$B$1,$B197&amp;":"&amp;Q$115&amp;":"&amp;$R$114)</f>
        <v>#</v>
      </c>
    </row>
    <row r="198" spans="1:31" ht="12.95" customHeight="1" x14ac:dyDescent="0.2">
      <c r="A198" s="26"/>
      <c r="B198" s="29"/>
      <c r="C198" s="121" t="s">
        <v>775</v>
      </c>
      <c r="D198" s="122"/>
      <c r="E198" s="486">
        <f>ROUND(FY!E210-E197,2)</f>
        <v>0</v>
      </c>
      <c r="F198" s="486">
        <f>ROUND(FY!F210-F197,2)</f>
        <v>0</v>
      </c>
      <c r="G198" s="486">
        <f>ROUND(FY!G210-G197,2)</f>
        <v>0</v>
      </c>
      <c r="H198" s="486">
        <f>ROUND(FY!H210-H197,2)</f>
        <v>0</v>
      </c>
      <c r="I198" s="486">
        <f>ROUND(FY!I210-I197,2)</f>
        <v>0</v>
      </c>
      <c r="J198" s="486">
        <f>ROUND(FY!J210-J197,2)</f>
        <v>0</v>
      </c>
      <c r="K198" s="486">
        <f>ROUND(FY!K210-K197,2)</f>
        <v>0</v>
      </c>
      <c r="L198" s="486">
        <f>ROUND(FY!L210-L197,2)</f>
        <v>0</v>
      </c>
      <c r="M198" s="486">
        <f>ROUND(FY!M210-M197,2)</f>
        <v>0</v>
      </c>
      <c r="N198" s="486">
        <f>ROUND(FY!N210-N197,2)</f>
        <v>0</v>
      </c>
      <c r="O198" s="486">
        <f>ROUND(FY!O210-O197,2)</f>
        <v>0</v>
      </c>
      <c r="P198" s="486">
        <f>ROUND(FY!P210-P197,2)</f>
        <v>0</v>
      </c>
      <c r="Q198" s="486">
        <f>ROUND(FY!Q210-Q197,2)</f>
        <v>0</v>
      </c>
      <c r="R198" s="112"/>
      <c r="S198" s="82"/>
      <c r="T198" s="82"/>
      <c r="U198" s="82"/>
      <c r="V198" s="82"/>
      <c r="W198" s="82"/>
      <c r="X198" s="82"/>
      <c r="Y198" s="82"/>
      <c r="Z198" s="82"/>
      <c r="AA198" s="82"/>
      <c r="AB198" s="82"/>
      <c r="AC198" s="82"/>
      <c r="AD198" s="82"/>
      <c r="AE198" s="82"/>
    </row>
    <row r="199" spans="1:31" ht="12.95" customHeight="1" x14ac:dyDescent="0.2">
      <c r="A199" s="26"/>
      <c r="B199" s="29"/>
      <c r="C199" s="130"/>
      <c r="D199" s="131"/>
      <c r="E199" s="131"/>
      <c r="F199" s="131"/>
      <c r="G199" s="131"/>
      <c r="H199" s="131"/>
      <c r="I199" s="131"/>
      <c r="J199" s="131"/>
      <c r="K199" s="131"/>
      <c r="L199" s="131"/>
      <c r="M199" s="131"/>
      <c r="N199" s="131"/>
      <c r="O199" s="131"/>
      <c r="P199" s="131"/>
      <c r="Q199" s="131"/>
      <c r="R199" s="112"/>
      <c r="S199" s="82"/>
      <c r="T199" s="82"/>
      <c r="U199" s="82"/>
      <c r="V199" s="82"/>
      <c r="W199" s="82"/>
      <c r="X199" s="82"/>
      <c r="Y199" s="82"/>
      <c r="Z199" s="82"/>
      <c r="AA199" s="82"/>
      <c r="AB199" s="82"/>
      <c r="AC199" s="82"/>
      <c r="AD199" s="82"/>
      <c r="AE199" s="82"/>
    </row>
    <row r="200" spans="1:31" ht="12.95" customHeight="1" x14ac:dyDescent="0.2">
      <c r="A200" s="26"/>
      <c r="B200" s="29"/>
      <c r="C200" s="130"/>
      <c r="D200" s="131"/>
      <c r="E200" s="131"/>
      <c r="F200" s="131"/>
      <c r="G200" s="131"/>
      <c r="H200" s="131"/>
      <c r="I200" s="131"/>
      <c r="J200" s="131"/>
      <c r="K200" s="131"/>
      <c r="L200" s="131"/>
      <c r="M200" s="131"/>
      <c r="N200" s="131"/>
      <c r="O200" s="131"/>
      <c r="P200" s="131"/>
      <c r="Q200" s="131"/>
      <c r="R200" s="112"/>
      <c r="S200" s="82"/>
      <c r="T200" s="82"/>
      <c r="U200" s="82"/>
      <c r="V200" s="82"/>
      <c r="W200" s="82"/>
      <c r="X200" s="82"/>
      <c r="Y200" s="82"/>
      <c r="Z200" s="82"/>
      <c r="AA200" s="82"/>
      <c r="AB200" s="82"/>
      <c r="AC200" s="82"/>
      <c r="AD200" s="82"/>
      <c r="AE200" s="82"/>
    </row>
    <row r="201" spans="1:31" ht="12.95" customHeight="1" x14ac:dyDescent="0.2">
      <c r="A201" s="61"/>
      <c r="B201" s="29"/>
      <c r="C201" s="126" t="s">
        <v>776</v>
      </c>
      <c r="D201" s="127"/>
      <c r="E201" s="127"/>
      <c r="F201" s="127"/>
      <c r="G201" s="127"/>
      <c r="H201" s="127"/>
      <c r="I201" s="127"/>
      <c r="J201" s="127"/>
      <c r="K201" s="127"/>
      <c r="L201" s="127"/>
      <c r="M201" s="127"/>
      <c r="N201" s="127"/>
      <c r="O201" s="127"/>
      <c r="P201" s="127"/>
      <c r="Q201" s="127"/>
      <c r="R201" s="64"/>
      <c r="S201" s="82"/>
      <c r="T201" s="82"/>
      <c r="U201" s="82"/>
      <c r="V201" s="82"/>
      <c r="W201" s="82"/>
      <c r="X201" s="82"/>
      <c r="Y201" s="82"/>
      <c r="Z201" s="82"/>
      <c r="AA201" s="82"/>
      <c r="AB201" s="82"/>
      <c r="AC201" s="82"/>
      <c r="AD201" s="82"/>
      <c r="AE201" s="82"/>
    </row>
    <row r="202" spans="1:31" ht="12.95" customHeight="1" x14ac:dyDescent="0.2">
      <c r="A202" s="26" t="s">
        <v>777</v>
      </c>
      <c r="B202" s="29" t="s">
        <v>778</v>
      </c>
      <c r="C202" s="110" t="s">
        <v>779</v>
      </c>
      <c r="D202" s="111"/>
      <c r="E202" s="483">
        <f>FY!E214</f>
        <v>0</v>
      </c>
      <c r="F202" s="483">
        <f>FY!F214</f>
        <v>0</v>
      </c>
      <c r="G202" s="483">
        <f>FY!G214</f>
        <v>0</v>
      </c>
      <c r="H202" s="483">
        <f>FY!H214</f>
        <v>0</v>
      </c>
      <c r="I202" s="483">
        <f>FY!I214</f>
        <v>0</v>
      </c>
      <c r="J202" s="483">
        <f>FY!J214</f>
        <v>0</v>
      </c>
      <c r="K202" s="483">
        <f>FY!K214</f>
        <v>0</v>
      </c>
      <c r="L202" s="483">
        <f>FY!L214</f>
        <v>0</v>
      </c>
      <c r="M202" s="483">
        <f>FY!M214</f>
        <v>0</v>
      </c>
      <c r="N202" s="483">
        <f>FY!N214</f>
        <v>0</v>
      </c>
      <c r="O202" s="483">
        <f>FY!O214</f>
        <v>0</v>
      </c>
      <c r="P202" s="483">
        <f>FY!P214</f>
        <v>0</v>
      </c>
      <c r="Q202" s="483">
        <f>FY!Q214</f>
        <v>0</v>
      </c>
      <c r="R202" s="1"/>
      <c r="S202" s="82" t="str">
        <f>_xll.BLUEMATRIX2("/servlet/excelData",E202,$B$1,$B202&amp;":"&amp;E$115&amp;":"&amp;$R$114)</f>
        <v>#</v>
      </c>
      <c r="T202" s="82" t="str">
        <f>_xll.BLUEMATRIX2("/servlet/excelData",F202,$B$1,$B202&amp;":"&amp;F$115&amp;":"&amp;$R$114)</f>
        <v>#</v>
      </c>
      <c r="U202" s="82" t="str">
        <f>_xll.BLUEMATRIX2("/servlet/excelData",G202,$B$1,$B202&amp;":"&amp;G$115&amp;":"&amp;$R$114)</f>
        <v>#</v>
      </c>
      <c r="V202" s="82" t="str">
        <f>_xll.BLUEMATRIX2("/servlet/excelData",H202,$B$1,$B202&amp;":"&amp;H$115&amp;":"&amp;$R$114)</f>
        <v>#</v>
      </c>
      <c r="W202" s="82" t="str">
        <f>_xll.BLUEMATRIX2("/servlet/excelData",I202,$B$1,$B202&amp;":"&amp;I$115&amp;":"&amp;$R$114)</f>
        <v>#</v>
      </c>
      <c r="X202" s="82" t="str">
        <f>_xll.BLUEMATRIX2("/servlet/excelData",J202,$B$1,$B202&amp;":"&amp;J$115&amp;":"&amp;$R$114)</f>
        <v>#</v>
      </c>
      <c r="Y202" s="82" t="str">
        <f>_xll.BLUEMATRIX2("/servlet/excelData",K202,$B$1,$B202&amp;":"&amp;K$115&amp;":"&amp;$R$114)</f>
        <v>#</v>
      </c>
      <c r="Z202" s="82" t="str">
        <f>_xll.BLUEMATRIX2("/servlet/excelData",L202,$B$1,$B202&amp;":"&amp;L$115&amp;":"&amp;$R$114)</f>
        <v>#</v>
      </c>
      <c r="AA202" s="82" t="str">
        <f>_xll.BLUEMATRIX2("/servlet/excelData",M202,$B$1,$B202&amp;":"&amp;M$115&amp;":"&amp;$R$114)</f>
        <v>#</v>
      </c>
      <c r="AB202" s="82" t="str">
        <f>_xll.BLUEMATRIX2("/servlet/excelData",N202,$B$1,$B202&amp;":"&amp;N$115&amp;":"&amp;$R$114)</f>
        <v>#</v>
      </c>
      <c r="AC202" s="82" t="str">
        <f>_xll.BLUEMATRIX2("/servlet/excelData",O202,$B$1,$B202&amp;":"&amp;O$115&amp;":"&amp;$R$114)</f>
        <v>#</v>
      </c>
      <c r="AD202" s="82" t="str">
        <f>_xll.BLUEMATRIX2("/servlet/excelData",P202,$B$1,$B202&amp;":"&amp;P$115&amp;":"&amp;$R$114)</f>
        <v>#</v>
      </c>
      <c r="AE202" s="82" t="str">
        <f>_xll.BLUEMATRIX2("/servlet/excelData",Q202,$B$1,$B202&amp;":"&amp;Q$115&amp;":"&amp;$R$114)</f>
        <v>#</v>
      </c>
    </row>
    <row r="203" spans="1:31" ht="12.95" customHeight="1" x14ac:dyDescent="0.2">
      <c r="A203" s="26" t="s">
        <v>780</v>
      </c>
      <c r="B203" s="29" t="s">
        <v>781</v>
      </c>
      <c r="C203" s="110" t="s">
        <v>782</v>
      </c>
      <c r="D203" s="111"/>
      <c r="E203" s="483">
        <f>FY!E213</f>
        <v>0</v>
      </c>
      <c r="F203" s="483">
        <f>FY!F213</f>
        <v>0</v>
      </c>
      <c r="G203" s="483">
        <f>FY!G213</f>
        <v>11.6</v>
      </c>
      <c r="H203" s="483">
        <f>FY!H213</f>
        <v>20.399999999999999</v>
      </c>
      <c r="I203" s="483">
        <f>FY!I213</f>
        <v>25.4</v>
      </c>
      <c r="J203" s="483">
        <f>FY!J213</f>
        <v>27.460432304218667</v>
      </c>
      <c r="K203" s="483">
        <f>FY!K213</f>
        <v>28.833453919429598</v>
      </c>
      <c r="L203" s="483">
        <f>FY!L213</f>
        <v>30.275126615401078</v>
      </c>
      <c r="M203" s="483">
        <f>FY!M213</f>
        <v>31.788882946171139</v>
      </c>
      <c r="N203" s="483">
        <f>FY!N213</f>
        <v>33.378327093479697</v>
      </c>
      <c r="O203" s="483">
        <f>FY!O213</f>
        <v>35.047243448153687</v>
      </c>
      <c r="P203" s="483">
        <f>FY!P213</f>
        <v>36.799605620561373</v>
      </c>
      <c r="Q203" s="483">
        <f>FY!Q213</f>
        <v>38.639585901589442</v>
      </c>
      <c r="R203" s="1"/>
      <c r="S203" s="82" t="str">
        <f>_xll.BLUEMATRIX2("/servlet/excelData",E203,$B$1,$B203&amp;":"&amp;E$115&amp;":"&amp;$R$114)</f>
        <v>#</v>
      </c>
      <c r="T203" s="82" t="str">
        <f>_xll.BLUEMATRIX2("/servlet/excelData",F203,$B$1,$B203&amp;":"&amp;F$115&amp;":"&amp;$R$114)</f>
        <v>#</v>
      </c>
      <c r="U203" s="82" t="str">
        <f>_xll.BLUEMATRIX2("/servlet/excelData",G203,$B$1,$B203&amp;":"&amp;G$115&amp;":"&amp;$R$114)</f>
        <v>#</v>
      </c>
      <c r="V203" s="82" t="str">
        <f>_xll.BLUEMATRIX2("/servlet/excelData",H203,$B$1,$B203&amp;":"&amp;H$115&amp;":"&amp;$R$114)</f>
        <v>#</v>
      </c>
      <c r="W203" s="82" t="str">
        <f>_xll.BLUEMATRIX2("/servlet/excelData",I203,$B$1,$B203&amp;":"&amp;I$115&amp;":"&amp;$R$114)</f>
        <v>#</v>
      </c>
      <c r="X203" s="82" t="str">
        <f>_xll.BLUEMATRIX2("/servlet/excelData",J203,$B$1,$B203&amp;":"&amp;J$115&amp;":"&amp;$R$114)</f>
        <v>#</v>
      </c>
      <c r="Y203" s="82" t="str">
        <f>_xll.BLUEMATRIX2("/servlet/excelData",K203,$B$1,$B203&amp;":"&amp;K$115&amp;":"&amp;$R$114)</f>
        <v>#</v>
      </c>
      <c r="Z203" s="82" t="str">
        <f>_xll.BLUEMATRIX2("/servlet/excelData",L203,$B$1,$B203&amp;":"&amp;L$115&amp;":"&amp;$R$114)</f>
        <v>#</v>
      </c>
      <c r="AA203" s="82" t="str">
        <f>_xll.BLUEMATRIX2("/servlet/excelData",M203,$B$1,$B203&amp;":"&amp;M$115&amp;":"&amp;$R$114)</f>
        <v>#</v>
      </c>
      <c r="AB203" s="82" t="str">
        <f>_xll.BLUEMATRIX2("/servlet/excelData",N203,$B$1,$B203&amp;":"&amp;N$115&amp;":"&amp;$R$114)</f>
        <v>#</v>
      </c>
      <c r="AC203" s="82" t="str">
        <f>_xll.BLUEMATRIX2("/servlet/excelData",O203,$B$1,$B203&amp;":"&amp;O$115&amp;":"&amp;$R$114)</f>
        <v>#</v>
      </c>
      <c r="AD203" s="82" t="str">
        <f>_xll.BLUEMATRIX2("/servlet/excelData",P203,$B$1,$B203&amp;":"&amp;P$115&amp;":"&amp;$R$114)</f>
        <v>#</v>
      </c>
      <c r="AE203" s="82" t="str">
        <f>_xll.BLUEMATRIX2("/servlet/excelData",Q203,$B$1,$B203&amp;":"&amp;Q$115&amp;":"&amp;$R$114)</f>
        <v>#</v>
      </c>
    </row>
    <row r="204" spans="1:31" ht="12.95" customHeight="1" x14ac:dyDescent="0.2">
      <c r="A204" s="26" t="s">
        <v>783</v>
      </c>
      <c r="B204" s="29" t="s">
        <v>784</v>
      </c>
      <c r="C204" s="110" t="s">
        <v>785</v>
      </c>
      <c r="D204" s="111"/>
      <c r="E204" s="483">
        <f>FY!E215</f>
        <v>0</v>
      </c>
      <c r="F204" s="483">
        <f>FY!F215</f>
        <v>0</v>
      </c>
      <c r="G204" s="483">
        <f>FY!G215</f>
        <v>0</v>
      </c>
      <c r="H204" s="483">
        <f>FY!H215</f>
        <v>33.299999999999997</v>
      </c>
      <c r="I204" s="483">
        <f>FY!I215</f>
        <v>0</v>
      </c>
      <c r="J204" s="483">
        <f>FY!J215</f>
        <v>0</v>
      </c>
      <c r="K204" s="483">
        <f>FY!K215</f>
        <v>0</v>
      </c>
      <c r="L204" s="483">
        <f>FY!L215</f>
        <v>0</v>
      </c>
      <c r="M204" s="483">
        <f>FY!M215</f>
        <v>0</v>
      </c>
      <c r="N204" s="483">
        <f>FY!N215</f>
        <v>0</v>
      </c>
      <c r="O204" s="483">
        <f>FY!O215</f>
        <v>0</v>
      </c>
      <c r="P204" s="483">
        <f>FY!P215</f>
        <v>0</v>
      </c>
      <c r="Q204" s="483">
        <f>FY!Q215</f>
        <v>0</v>
      </c>
      <c r="R204" s="1"/>
      <c r="S204" s="82" t="str">
        <f>_xll.BLUEMATRIX2("/servlet/excelData",E204,$B$1,$B204&amp;":"&amp;E$115&amp;":"&amp;$R$114)</f>
        <v>#</v>
      </c>
      <c r="T204" s="82" t="str">
        <f>_xll.BLUEMATRIX2("/servlet/excelData",F204,$B$1,$B204&amp;":"&amp;F$115&amp;":"&amp;$R$114)</f>
        <v>#</v>
      </c>
      <c r="U204" s="82" t="str">
        <f>_xll.BLUEMATRIX2("/servlet/excelData",G204,$B$1,$B204&amp;":"&amp;G$115&amp;":"&amp;$R$114)</f>
        <v>#</v>
      </c>
      <c r="V204" s="82" t="str">
        <f>_xll.BLUEMATRIX2("/servlet/excelData",H204,$B$1,$B204&amp;":"&amp;H$115&amp;":"&amp;$R$114)</f>
        <v>#</v>
      </c>
      <c r="W204" s="82" t="str">
        <f>_xll.BLUEMATRIX2("/servlet/excelData",I204,$B$1,$B204&amp;":"&amp;I$115&amp;":"&amp;$R$114)</f>
        <v>#</v>
      </c>
      <c r="X204" s="82" t="str">
        <f>_xll.BLUEMATRIX2("/servlet/excelData",J204,$B$1,$B204&amp;":"&amp;J$115&amp;":"&amp;$R$114)</f>
        <v>#</v>
      </c>
      <c r="Y204" s="82" t="str">
        <f>_xll.BLUEMATRIX2("/servlet/excelData",K204,$B$1,$B204&amp;":"&amp;K$115&amp;":"&amp;$R$114)</f>
        <v>#</v>
      </c>
      <c r="Z204" s="82" t="str">
        <f>_xll.BLUEMATRIX2("/servlet/excelData",L204,$B$1,$B204&amp;":"&amp;L$115&amp;":"&amp;$R$114)</f>
        <v>#</v>
      </c>
      <c r="AA204" s="82" t="str">
        <f>_xll.BLUEMATRIX2("/servlet/excelData",M204,$B$1,$B204&amp;":"&amp;M$115&amp;":"&amp;$R$114)</f>
        <v>#</v>
      </c>
      <c r="AB204" s="82" t="str">
        <f>_xll.BLUEMATRIX2("/servlet/excelData",N204,$B$1,$B204&amp;":"&amp;N$115&amp;":"&amp;$R$114)</f>
        <v>#</v>
      </c>
      <c r="AC204" s="82" t="str">
        <f>_xll.BLUEMATRIX2("/servlet/excelData",O204,$B$1,$B204&amp;":"&amp;O$115&amp;":"&amp;$R$114)</f>
        <v>#</v>
      </c>
      <c r="AD204" s="82" t="str">
        <f>_xll.BLUEMATRIX2("/servlet/excelData",P204,$B$1,$B204&amp;":"&amp;P$115&amp;":"&amp;$R$114)</f>
        <v>#</v>
      </c>
      <c r="AE204" s="82" t="str">
        <f>_xll.BLUEMATRIX2("/servlet/excelData",Q204,$B$1,$B204&amp;":"&amp;Q$115&amp;":"&amp;$R$114)</f>
        <v>#</v>
      </c>
    </row>
    <row r="205" spans="1:31" ht="12.95" customHeight="1" x14ac:dyDescent="0.2">
      <c r="A205" s="26" t="s">
        <v>786</v>
      </c>
      <c r="B205" s="29" t="s">
        <v>787</v>
      </c>
      <c r="C205" s="110" t="s">
        <v>788</v>
      </c>
      <c r="D205" s="111"/>
      <c r="E205" s="483"/>
      <c r="F205" s="483"/>
      <c r="G205" s="483"/>
      <c r="H205" s="483"/>
      <c r="I205" s="483"/>
      <c r="J205" s="483"/>
      <c r="K205" s="483"/>
      <c r="L205" s="483"/>
      <c r="M205" s="483"/>
      <c r="N205" s="483"/>
      <c r="O205" s="483"/>
      <c r="P205" s="483"/>
      <c r="Q205" s="483"/>
      <c r="R205" s="1"/>
      <c r="S205" s="82" t="str">
        <f>_xll.BLUEMATRIX2("/servlet/excelData",E205,$B$1,$B205&amp;":"&amp;E$115&amp;":"&amp;$R$114)</f>
        <v>#</v>
      </c>
      <c r="T205" s="82" t="str">
        <f>_xll.BLUEMATRIX2("/servlet/excelData",F205,$B$1,$B205&amp;":"&amp;F$115&amp;":"&amp;$R$114)</f>
        <v>#</v>
      </c>
      <c r="U205" s="82" t="str">
        <f>_xll.BLUEMATRIX2("/servlet/excelData",G205,$B$1,$B205&amp;":"&amp;G$115&amp;":"&amp;$R$114)</f>
        <v>#</v>
      </c>
      <c r="V205" s="82" t="str">
        <f>_xll.BLUEMATRIX2("/servlet/excelData",H205,$B$1,$B205&amp;":"&amp;H$115&amp;":"&amp;$R$114)</f>
        <v>#</v>
      </c>
      <c r="W205" s="82" t="str">
        <f>_xll.BLUEMATRIX2("/servlet/excelData",I205,$B$1,$B205&amp;":"&amp;I$115&amp;":"&amp;$R$114)</f>
        <v>#</v>
      </c>
      <c r="X205" s="82" t="str">
        <f>_xll.BLUEMATRIX2("/servlet/excelData",J205,$B$1,$B205&amp;":"&amp;J$115&amp;":"&amp;$R$114)</f>
        <v>#</v>
      </c>
      <c r="Y205" s="82" t="str">
        <f>_xll.BLUEMATRIX2("/servlet/excelData",K205,$B$1,$B205&amp;":"&amp;K$115&amp;":"&amp;$R$114)</f>
        <v>#</v>
      </c>
      <c r="Z205" s="82" t="str">
        <f>_xll.BLUEMATRIX2("/servlet/excelData",L205,$B$1,$B205&amp;":"&amp;L$115&amp;":"&amp;$R$114)</f>
        <v>#</v>
      </c>
      <c r="AA205" s="82" t="str">
        <f>_xll.BLUEMATRIX2("/servlet/excelData",M205,$B$1,$B205&amp;":"&amp;M$115&amp;":"&amp;$R$114)</f>
        <v>#</v>
      </c>
      <c r="AB205" s="82" t="str">
        <f>_xll.BLUEMATRIX2("/servlet/excelData",N205,$B$1,$B205&amp;":"&amp;N$115&amp;":"&amp;$R$114)</f>
        <v>#</v>
      </c>
      <c r="AC205" s="82" t="str">
        <f>_xll.BLUEMATRIX2("/servlet/excelData",O205,$B$1,$B205&amp;":"&amp;O$115&amp;":"&amp;$R$114)</f>
        <v>#</v>
      </c>
      <c r="AD205" s="82" t="str">
        <f>_xll.BLUEMATRIX2("/servlet/excelData",P205,$B$1,$B205&amp;":"&amp;P$115&amp;":"&amp;$R$114)</f>
        <v>#</v>
      </c>
      <c r="AE205" s="82" t="str">
        <f>_xll.BLUEMATRIX2("/servlet/excelData",Q205,$B$1,$B205&amp;":"&amp;Q$115&amp;":"&amp;$R$114)</f>
        <v>#</v>
      </c>
    </row>
    <row r="206" spans="1:31" ht="12.95" customHeight="1" x14ac:dyDescent="0.2">
      <c r="A206" s="26" t="s">
        <v>789</v>
      </c>
      <c r="B206" s="29" t="s">
        <v>790</v>
      </c>
      <c r="C206" s="110" t="s">
        <v>791</v>
      </c>
      <c r="D206" s="111"/>
      <c r="E206" s="483"/>
      <c r="F206" s="483"/>
      <c r="G206" s="483"/>
      <c r="H206" s="483"/>
      <c r="I206" s="483"/>
      <c r="J206" s="483"/>
      <c r="K206" s="483"/>
      <c r="L206" s="483"/>
      <c r="M206" s="483"/>
      <c r="N206" s="483"/>
      <c r="O206" s="483"/>
      <c r="P206" s="483"/>
      <c r="Q206" s="483"/>
      <c r="R206" s="1"/>
      <c r="S206" s="82" t="str">
        <f>_xll.BLUEMATRIX2("/servlet/excelData",E206,$B$1,$B206&amp;":"&amp;E$115&amp;":"&amp;$R$114)</f>
        <v>#</v>
      </c>
      <c r="T206" s="82" t="str">
        <f>_xll.BLUEMATRIX2("/servlet/excelData",F206,$B$1,$B206&amp;":"&amp;F$115&amp;":"&amp;$R$114)</f>
        <v>#</v>
      </c>
      <c r="U206" s="82" t="str">
        <f>_xll.BLUEMATRIX2("/servlet/excelData",G206,$B$1,$B206&amp;":"&amp;G$115&amp;":"&amp;$R$114)</f>
        <v>#</v>
      </c>
      <c r="V206" s="82" t="str">
        <f>_xll.BLUEMATRIX2("/servlet/excelData",H206,$B$1,$B206&amp;":"&amp;H$115&amp;":"&amp;$R$114)</f>
        <v>#</v>
      </c>
      <c r="W206" s="82" t="str">
        <f>_xll.BLUEMATRIX2("/servlet/excelData",I206,$B$1,$B206&amp;":"&amp;I$115&amp;":"&amp;$R$114)</f>
        <v>#</v>
      </c>
      <c r="X206" s="82" t="str">
        <f>_xll.BLUEMATRIX2("/servlet/excelData",J206,$B$1,$B206&amp;":"&amp;J$115&amp;":"&amp;$R$114)</f>
        <v>#</v>
      </c>
      <c r="Y206" s="82" t="str">
        <f>_xll.BLUEMATRIX2("/servlet/excelData",K206,$B$1,$B206&amp;":"&amp;K$115&amp;":"&amp;$R$114)</f>
        <v>#</v>
      </c>
      <c r="Z206" s="82" t="str">
        <f>_xll.BLUEMATRIX2("/servlet/excelData",L206,$B$1,$B206&amp;":"&amp;L$115&amp;":"&amp;$R$114)</f>
        <v>#</v>
      </c>
      <c r="AA206" s="82" t="str">
        <f>_xll.BLUEMATRIX2("/servlet/excelData",M206,$B$1,$B206&amp;":"&amp;M$115&amp;":"&amp;$R$114)</f>
        <v>#</v>
      </c>
      <c r="AB206" s="82" t="str">
        <f>_xll.BLUEMATRIX2("/servlet/excelData",N206,$B$1,$B206&amp;":"&amp;N$115&amp;":"&amp;$R$114)</f>
        <v>#</v>
      </c>
      <c r="AC206" s="82" t="str">
        <f>_xll.BLUEMATRIX2("/servlet/excelData",O206,$B$1,$B206&amp;":"&amp;O$115&amp;":"&amp;$R$114)</f>
        <v>#</v>
      </c>
      <c r="AD206" s="82" t="str">
        <f>_xll.BLUEMATRIX2("/servlet/excelData",P206,$B$1,$B206&amp;":"&amp;P$115&amp;":"&amp;$R$114)</f>
        <v>#</v>
      </c>
      <c r="AE206" s="82" t="str">
        <f>_xll.BLUEMATRIX2("/servlet/excelData",Q206,$B$1,$B206&amp;":"&amp;Q$115&amp;":"&amp;$R$114)</f>
        <v>#</v>
      </c>
    </row>
    <row r="207" spans="1:31" ht="12.95" customHeight="1" x14ac:dyDescent="0.2">
      <c r="A207" s="26" t="s">
        <v>792</v>
      </c>
      <c r="B207" s="29" t="s">
        <v>793</v>
      </c>
      <c r="C207" s="110" t="s">
        <v>183</v>
      </c>
      <c r="D207" s="132"/>
      <c r="E207" s="483">
        <f>FY!E216+FY!E220+FY!E219+FY!E217</f>
        <v>0</v>
      </c>
      <c r="F207" s="483">
        <f>FY!F216+FY!F220+FY!F219+FY!F217</f>
        <v>0</v>
      </c>
      <c r="G207" s="483">
        <f>FY!G216+FY!G220+FY!G219+FY!G217</f>
        <v>7.7000000000000011</v>
      </c>
      <c r="H207" s="483">
        <f>FY!H216+FY!H220+FY!H219+FY!H217</f>
        <v>18.899999999999999</v>
      </c>
      <c r="I207" s="483">
        <f>FY!I216+FY!I220+FY!I219+FY!I217</f>
        <v>15.9</v>
      </c>
      <c r="J207" s="483">
        <f>FY!J216+FY!J220+FY!J219+FY!J217</f>
        <v>15.9</v>
      </c>
      <c r="K207" s="483">
        <f>FY!K216+FY!K220+FY!K219+FY!K217</f>
        <v>15.9</v>
      </c>
      <c r="L207" s="483">
        <f>FY!L216+FY!L220+FY!L219+FY!L217</f>
        <v>15.9</v>
      </c>
      <c r="M207" s="483">
        <f>FY!M216+FY!M220+FY!M219+FY!M217</f>
        <v>15.9</v>
      </c>
      <c r="N207" s="483">
        <f>FY!N216+FY!N220+FY!N219+FY!N217</f>
        <v>15.9</v>
      </c>
      <c r="O207" s="483">
        <f>FY!O216+FY!O220+FY!O219+FY!O217</f>
        <v>15.9</v>
      </c>
      <c r="P207" s="483">
        <f>FY!P216+FY!P220+FY!P219+FY!P217</f>
        <v>15.9</v>
      </c>
      <c r="Q207" s="483">
        <f>FY!Q216+FY!Q220+FY!Q219+FY!Q217</f>
        <v>15.9</v>
      </c>
      <c r="R207" s="1"/>
      <c r="S207" s="82" t="str">
        <f>_xll.BLUEMATRIX2("/servlet/excelData",E207,$B$1,$B207&amp;":"&amp;E$115&amp;":"&amp;$R$114)</f>
        <v>#</v>
      </c>
      <c r="T207" s="82" t="str">
        <f>_xll.BLUEMATRIX2("/servlet/excelData",F207,$B$1,$B207&amp;":"&amp;F$115&amp;":"&amp;$R$114)</f>
        <v>#</v>
      </c>
      <c r="U207" s="82" t="str">
        <f>_xll.BLUEMATRIX2("/servlet/excelData",G207,$B$1,$B207&amp;":"&amp;G$115&amp;":"&amp;$R$114)</f>
        <v>#</v>
      </c>
      <c r="V207" s="82" t="str">
        <f>_xll.BLUEMATRIX2("/servlet/excelData",H207,$B$1,$B207&amp;":"&amp;H$115&amp;":"&amp;$R$114)</f>
        <v>#</v>
      </c>
      <c r="W207" s="82" t="str">
        <f>_xll.BLUEMATRIX2("/servlet/excelData",I207,$B$1,$B207&amp;":"&amp;I$115&amp;":"&amp;$R$114)</f>
        <v>#</v>
      </c>
      <c r="X207" s="82" t="str">
        <f>_xll.BLUEMATRIX2("/servlet/excelData",J207,$B$1,$B207&amp;":"&amp;J$115&amp;":"&amp;$R$114)</f>
        <v>#</v>
      </c>
      <c r="Y207" s="82" t="str">
        <f>_xll.BLUEMATRIX2("/servlet/excelData",K207,$B$1,$B207&amp;":"&amp;K$115&amp;":"&amp;$R$114)</f>
        <v>#</v>
      </c>
      <c r="Z207" s="82" t="str">
        <f>_xll.BLUEMATRIX2("/servlet/excelData",L207,$B$1,$B207&amp;":"&amp;L$115&amp;":"&amp;$R$114)</f>
        <v>#</v>
      </c>
      <c r="AA207" s="82" t="str">
        <f>_xll.BLUEMATRIX2("/servlet/excelData",M207,$B$1,$B207&amp;":"&amp;M$115&amp;":"&amp;$R$114)</f>
        <v>#</v>
      </c>
      <c r="AB207" s="82" t="str">
        <f>_xll.BLUEMATRIX2("/servlet/excelData",N207,$B$1,$B207&amp;":"&amp;N$115&amp;":"&amp;$R$114)</f>
        <v>#</v>
      </c>
      <c r="AC207" s="82" t="str">
        <f>_xll.BLUEMATRIX2("/servlet/excelData",O207,$B$1,$B207&amp;":"&amp;O$115&amp;":"&amp;$R$114)</f>
        <v>#</v>
      </c>
      <c r="AD207" s="82" t="str">
        <f>_xll.BLUEMATRIX2("/servlet/excelData",P207,$B$1,$B207&amp;":"&amp;P$115&amp;":"&amp;$R$114)</f>
        <v>#</v>
      </c>
      <c r="AE207" s="82" t="str">
        <f>_xll.BLUEMATRIX2("/servlet/excelData",Q207,$B$1,$B207&amp;":"&amp;Q$115&amp;":"&amp;$R$114)</f>
        <v>#</v>
      </c>
    </row>
    <row r="208" spans="1:31" ht="12.95" customHeight="1" x14ac:dyDescent="0.2">
      <c r="A208" s="26" t="s">
        <v>794</v>
      </c>
      <c r="B208" s="29" t="s">
        <v>795</v>
      </c>
      <c r="C208" s="128" t="s">
        <v>796</v>
      </c>
      <c r="D208" s="114"/>
      <c r="E208" s="114">
        <f t="shared" ref="E208:Q208" si="23">SUM(E202:E207)</f>
        <v>0</v>
      </c>
      <c r="F208" s="114">
        <f t="shared" si="23"/>
        <v>0</v>
      </c>
      <c r="G208" s="114">
        <f t="shared" si="23"/>
        <v>19.3</v>
      </c>
      <c r="H208" s="114">
        <f t="shared" si="23"/>
        <v>72.599999999999994</v>
      </c>
      <c r="I208" s="114">
        <f t="shared" si="23"/>
        <v>41.3</v>
      </c>
      <c r="J208" s="114">
        <f t="shared" si="23"/>
        <v>43.360432304218669</v>
      </c>
      <c r="K208" s="114">
        <f t="shared" si="23"/>
        <v>44.7334539194296</v>
      </c>
      <c r="L208" s="114">
        <f t="shared" si="23"/>
        <v>46.175126615401076</v>
      </c>
      <c r="M208" s="114">
        <f t="shared" si="23"/>
        <v>47.688882946171141</v>
      </c>
      <c r="N208" s="114">
        <f t="shared" si="23"/>
        <v>49.278327093479696</v>
      </c>
      <c r="O208" s="114">
        <f t="shared" si="23"/>
        <v>50.947243448153685</v>
      </c>
      <c r="P208" s="114">
        <f t="shared" si="23"/>
        <v>52.699605620561371</v>
      </c>
      <c r="Q208" s="114">
        <f t="shared" si="23"/>
        <v>54.53958590158944</v>
      </c>
      <c r="R208" s="1"/>
      <c r="S208" s="82" t="str">
        <f>_xll.BLUEMATRIX2("/servlet/excelData",E208,$B$1,$B208&amp;":"&amp;E$115&amp;":"&amp;$R$114)</f>
        <v>#</v>
      </c>
      <c r="T208" s="82" t="str">
        <f>_xll.BLUEMATRIX2("/servlet/excelData",F208,$B$1,$B208&amp;":"&amp;F$115&amp;":"&amp;$R$114)</f>
        <v>#</v>
      </c>
      <c r="U208" s="82" t="str">
        <f>_xll.BLUEMATRIX2("/servlet/excelData",G208,$B$1,$B208&amp;":"&amp;G$115&amp;":"&amp;$R$114)</f>
        <v>#</v>
      </c>
      <c r="V208" s="82" t="str">
        <f>_xll.BLUEMATRIX2("/servlet/excelData",H208,$B$1,$B208&amp;":"&amp;H$115&amp;":"&amp;$R$114)</f>
        <v>#</v>
      </c>
      <c r="W208" s="82" t="str">
        <f>_xll.BLUEMATRIX2("/servlet/excelData",I208,$B$1,$B208&amp;":"&amp;I$115&amp;":"&amp;$R$114)</f>
        <v>#</v>
      </c>
      <c r="X208" s="82" t="str">
        <f>_xll.BLUEMATRIX2("/servlet/excelData",J208,$B$1,$B208&amp;":"&amp;J$115&amp;":"&amp;$R$114)</f>
        <v>#</v>
      </c>
      <c r="Y208" s="82" t="str">
        <f>_xll.BLUEMATRIX2("/servlet/excelData",K208,$B$1,$B208&amp;":"&amp;K$115&amp;":"&amp;$R$114)</f>
        <v>#</v>
      </c>
      <c r="Z208" s="82" t="str">
        <f>_xll.BLUEMATRIX2("/servlet/excelData",L208,$B$1,$B208&amp;":"&amp;L$115&amp;":"&amp;$R$114)</f>
        <v>#</v>
      </c>
      <c r="AA208" s="82" t="str">
        <f>_xll.BLUEMATRIX2("/servlet/excelData",M208,$B$1,$B208&amp;":"&amp;M$115&amp;":"&amp;$R$114)</f>
        <v>#</v>
      </c>
      <c r="AB208" s="82" t="str">
        <f>_xll.BLUEMATRIX2("/servlet/excelData",N208,$B$1,$B208&amp;":"&amp;N$115&amp;":"&amp;$R$114)</f>
        <v>#</v>
      </c>
      <c r="AC208" s="82" t="str">
        <f>_xll.BLUEMATRIX2("/servlet/excelData",O208,$B$1,$B208&amp;":"&amp;O$115&amp;":"&amp;$R$114)</f>
        <v>#</v>
      </c>
      <c r="AD208" s="82" t="str">
        <f>_xll.BLUEMATRIX2("/servlet/excelData",P208,$B$1,$B208&amp;":"&amp;P$115&amp;":"&amp;$R$114)</f>
        <v>#</v>
      </c>
      <c r="AE208" s="82" t="str">
        <f>_xll.BLUEMATRIX2("/servlet/excelData",Q208,$B$1,$B208&amp;":"&amp;Q$115&amp;":"&amp;$R$114)</f>
        <v>#</v>
      </c>
    </row>
    <row r="209" spans="1:31" ht="12.95" customHeight="1" x14ac:dyDescent="0.2">
      <c r="A209" s="26" t="s">
        <v>797</v>
      </c>
      <c r="B209" s="29" t="s">
        <v>798</v>
      </c>
      <c r="C209" s="110" t="s">
        <v>799</v>
      </c>
      <c r="D209" s="111"/>
      <c r="E209" s="483">
        <f>FY!E225</f>
        <v>0</v>
      </c>
      <c r="F209" s="483">
        <f>FY!F225</f>
        <v>0</v>
      </c>
      <c r="G209" s="483">
        <f>FY!G225</f>
        <v>0.1</v>
      </c>
      <c r="H209" s="483">
        <f>FY!H225</f>
        <v>0</v>
      </c>
      <c r="I209" s="483">
        <f>FY!I225</f>
        <v>33.799999999999997</v>
      </c>
      <c r="J209" s="483">
        <f>FY!J225</f>
        <v>33.799999999999997</v>
      </c>
      <c r="K209" s="483">
        <f>FY!K225</f>
        <v>33.799999999999997</v>
      </c>
      <c r="L209" s="483">
        <f>FY!L225</f>
        <v>33.799999999999997</v>
      </c>
      <c r="M209" s="483">
        <f>FY!M225</f>
        <v>33.799999999999997</v>
      </c>
      <c r="N209" s="483">
        <f>FY!N225</f>
        <v>33.799999999999997</v>
      </c>
      <c r="O209" s="483">
        <f>FY!O225</f>
        <v>33.799999999999997</v>
      </c>
      <c r="P209" s="483">
        <f>FY!P225</f>
        <v>33.799999999999997</v>
      </c>
      <c r="Q209" s="483">
        <f>FY!Q225</f>
        <v>33.799999999999997</v>
      </c>
      <c r="R209" s="1"/>
      <c r="S209" s="82" t="str">
        <f>_xll.BLUEMATRIX2("/servlet/excelData",E209,$B$1,$B209&amp;":"&amp;E$115&amp;":"&amp;$R$114)</f>
        <v>#</v>
      </c>
      <c r="T209" s="82" t="str">
        <f>_xll.BLUEMATRIX2("/servlet/excelData",F209,$B$1,$B209&amp;":"&amp;F$115&amp;":"&amp;$R$114)</f>
        <v>#</v>
      </c>
      <c r="U209" s="82" t="str">
        <f>_xll.BLUEMATRIX2("/servlet/excelData",G209,$B$1,$B209&amp;":"&amp;G$115&amp;":"&amp;$R$114)</f>
        <v>#</v>
      </c>
      <c r="V209" s="82" t="str">
        <f>_xll.BLUEMATRIX2("/servlet/excelData",H209,$B$1,$B209&amp;":"&amp;H$115&amp;":"&amp;$R$114)</f>
        <v>#</v>
      </c>
      <c r="W209" s="82" t="str">
        <f>_xll.BLUEMATRIX2("/servlet/excelData",I209,$B$1,$B209&amp;":"&amp;I$115&amp;":"&amp;$R$114)</f>
        <v>#</v>
      </c>
      <c r="X209" s="82" t="str">
        <f>_xll.BLUEMATRIX2("/servlet/excelData",J209,$B$1,$B209&amp;":"&amp;J$115&amp;":"&amp;$R$114)</f>
        <v>#</v>
      </c>
      <c r="Y209" s="82" t="str">
        <f>_xll.BLUEMATRIX2("/servlet/excelData",K209,$B$1,$B209&amp;":"&amp;K$115&amp;":"&amp;$R$114)</f>
        <v>#</v>
      </c>
      <c r="Z209" s="82" t="str">
        <f>_xll.BLUEMATRIX2("/servlet/excelData",L209,$B$1,$B209&amp;":"&amp;L$115&amp;":"&amp;$R$114)</f>
        <v>#</v>
      </c>
      <c r="AA209" s="82" t="str">
        <f>_xll.BLUEMATRIX2("/servlet/excelData",M209,$B$1,$B209&amp;":"&amp;M$115&amp;":"&amp;$R$114)</f>
        <v>#</v>
      </c>
      <c r="AB209" s="82" t="str">
        <f>_xll.BLUEMATRIX2("/servlet/excelData",N209,$B$1,$B209&amp;":"&amp;N$115&amp;":"&amp;$R$114)</f>
        <v>#</v>
      </c>
      <c r="AC209" s="82" t="str">
        <f>_xll.BLUEMATRIX2("/servlet/excelData",O209,$B$1,$B209&amp;":"&amp;O$115&amp;":"&amp;$R$114)</f>
        <v>#</v>
      </c>
      <c r="AD209" s="82" t="str">
        <f>_xll.BLUEMATRIX2("/servlet/excelData",P209,$B$1,$B209&amp;":"&amp;P$115&amp;":"&amp;$R$114)</f>
        <v>#</v>
      </c>
      <c r="AE209" s="82" t="str">
        <f>_xll.BLUEMATRIX2("/servlet/excelData",Q209,$B$1,$B209&amp;":"&amp;Q$115&amp;":"&amp;$R$114)</f>
        <v>#</v>
      </c>
    </row>
    <row r="210" spans="1:31" ht="12.95" customHeight="1" x14ac:dyDescent="0.2">
      <c r="A210" s="26" t="s">
        <v>800</v>
      </c>
      <c r="B210" s="29" t="s">
        <v>801</v>
      </c>
      <c r="C210" s="110" t="s">
        <v>802</v>
      </c>
      <c r="D210" s="111"/>
      <c r="E210" s="483"/>
      <c r="F210" s="483"/>
      <c r="G210" s="483"/>
      <c r="H210" s="483"/>
      <c r="I210" s="483"/>
      <c r="J210" s="483"/>
      <c r="K210" s="483"/>
      <c r="L210" s="483"/>
      <c r="M210" s="483"/>
      <c r="N210" s="483"/>
      <c r="O210" s="483"/>
      <c r="P210" s="483"/>
      <c r="Q210" s="483"/>
      <c r="R210" s="1"/>
      <c r="S210" s="82" t="str">
        <f>_xll.BLUEMATRIX2("/servlet/excelData",E210,$B$1,$B210&amp;":"&amp;E$115&amp;":"&amp;$R$114)</f>
        <v>#</v>
      </c>
      <c r="T210" s="82" t="str">
        <f>_xll.BLUEMATRIX2("/servlet/excelData",F210,$B$1,$B210&amp;":"&amp;F$115&amp;":"&amp;$R$114)</f>
        <v>#</v>
      </c>
      <c r="U210" s="82" t="str">
        <f>_xll.BLUEMATRIX2("/servlet/excelData",G210,$B$1,$B210&amp;":"&amp;G$115&amp;":"&amp;$R$114)</f>
        <v>#</v>
      </c>
      <c r="V210" s="82" t="str">
        <f>_xll.BLUEMATRIX2("/servlet/excelData",H210,$B$1,$B210&amp;":"&amp;H$115&amp;":"&amp;$R$114)</f>
        <v>#</v>
      </c>
      <c r="W210" s="82" t="str">
        <f>_xll.BLUEMATRIX2("/servlet/excelData",I210,$B$1,$B210&amp;":"&amp;I$115&amp;":"&amp;$R$114)</f>
        <v>#</v>
      </c>
      <c r="X210" s="82" t="str">
        <f>_xll.BLUEMATRIX2("/servlet/excelData",J210,$B$1,$B210&amp;":"&amp;J$115&amp;":"&amp;$R$114)</f>
        <v>#</v>
      </c>
      <c r="Y210" s="82" t="str">
        <f>_xll.BLUEMATRIX2("/servlet/excelData",K210,$B$1,$B210&amp;":"&amp;K$115&amp;":"&amp;$R$114)</f>
        <v>#</v>
      </c>
      <c r="Z210" s="82" t="str">
        <f>_xll.BLUEMATRIX2("/servlet/excelData",L210,$B$1,$B210&amp;":"&amp;L$115&amp;":"&amp;$R$114)</f>
        <v>#</v>
      </c>
      <c r="AA210" s="82" t="str">
        <f>_xll.BLUEMATRIX2("/servlet/excelData",M210,$B$1,$B210&amp;":"&amp;M$115&amp;":"&amp;$R$114)</f>
        <v>#</v>
      </c>
      <c r="AB210" s="82" t="str">
        <f>_xll.BLUEMATRIX2("/servlet/excelData",N210,$B$1,$B210&amp;":"&amp;N$115&amp;":"&amp;$R$114)</f>
        <v>#</v>
      </c>
      <c r="AC210" s="82" t="str">
        <f>_xll.BLUEMATRIX2("/servlet/excelData",O210,$B$1,$B210&amp;":"&amp;O$115&amp;":"&amp;$R$114)</f>
        <v>#</v>
      </c>
      <c r="AD210" s="82" t="str">
        <f>_xll.BLUEMATRIX2("/servlet/excelData",P210,$B$1,$B210&amp;":"&amp;P$115&amp;":"&amp;$R$114)</f>
        <v>#</v>
      </c>
      <c r="AE210" s="82" t="str">
        <f>_xll.BLUEMATRIX2("/servlet/excelData",Q210,$B$1,$B210&amp;":"&amp;Q$115&amp;":"&amp;$R$114)</f>
        <v>#</v>
      </c>
    </row>
    <row r="211" spans="1:31" ht="12.95" customHeight="1" x14ac:dyDescent="0.2">
      <c r="A211" s="26" t="s">
        <v>803</v>
      </c>
      <c r="B211" s="29" t="s">
        <v>804</v>
      </c>
      <c r="C211" s="110" t="s">
        <v>805</v>
      </c>
      <c r="D211" s="111"/>
      <c r="E211" s="483"/>
      <c r="F211" s="483"/>
      <c r="G211" s="483"/>
      <c r="H211" s="483"/>
      <c r="I211" s="483"/>
      <c r="J211" s="483"/>
      <c r="K211" s="483"/>
      <c r="L211" s="483"/>
      <c r="M211" s="483"/>
      <c r="N211" s="483"/>
      <c r="O211" s="483"/>
      <c r="P211" s="483"/>
      <c r="Q211" s="483"/>
      <c r="R211" s="1"/>
      <c r="S211" s="82" t="str">
        <f>_xll.BLUEMATRIX2("/servlet/excelData",E211,$B$1,$B211&amp;":"&amp;E$115&amp;":"&amp;$R$114)</f>
        <v>#</v>
      </c>
      <c r="T211" s="82" t="str">
        <f>_xll.BLUEMATRIX2("/servlet/excelData",F211,$B$1,$B211&amp;":"&amp;F$115&amp;":"&amp;$R$114)</f>
        <v>#</v>
      </c>
      <c r="U211" s="82" t="str">
        <f>_xll.BLUEMATRIX2("/servlet/excelData",G211,$B$1,$B211&amp;":"&amp;G$115&amp;":"&amp;$R$114)</f>
        <v>#</v>
      </c>
      <c r="V211" s="82" t="str">
        <f>_xll.BLUEMATRIX2("/servlet/excelData",H211,$B$1,$B211&amp;":"&amp;H$115&amp;":"&amp;$R$114)</f>
        <v>#</v>
      </c>
      <c r="W211" s="82" t="str">
        <f>_xll.BLUEMATRIX2("/servlet/excelData",I211,$B$1,$B211&amp;":"&amp;I$115&amp;":"&amp;$R$114)</f>
        <v>#</v>
      </c>
      <c r="X211" s="82" t="str">
        <f>_xll.BLUEMATRIX2("/servlet/excelData",J211,$B$1,$B211&amp;":"&amp;J$115&amp;":"&amp;$R$114)</f>
        <v>#</v>
      </c>
      <c r="Y211" s="82" t="str">
        <f>_xll.BLUEMATRIX2("/servlet/excelData",K211,$B$1,$B211&amp;":"&amp;K$115&amp;":"&amp;$R$114)</f>
        <v>#</v>
      </c>
      <c r="Z211" s="82" t="str">
        <f>_xll.BLUEMATRIX2("/servlet/excelData",L211,$B$1,$B211&amp;":"&amp;L$115&amp;":"&amp;$R$114)</f>
        <v>#</v>
      </c>
      <c r="AA211" s="82" t="str">
        <f>_xll.BLUEMATRIX2("/servlet/excelData",M211,$B$1,$B211&amp;":"&amp;M$115&amp;":"&amp;$R$114)</f>
        <v>#</v>
      </c>
      <c r="AB211" s="82" t="str">
        <f>_xll.BLUEMATRIX2("/servlet/excelData",N211,$B$1,$B211&amp;":"&amp;N$115&amp;":"&amp;$R$114)</f>
        <v>#</v>
      </c>
      <c r="AC211" s="82" t="str">
        <f>_xll.BLUEMATRIX2("/servlet/excelData",O211,$B$1,$B211&amp;":"&amp;O$115&amp;":"&amp;$R$114)</f>
        <v>#</v>
      </c>
      <c r="AD211" s="82" t="str">
        <f>_xll.BLUEMATRIX2("/servlet/excelData",P211,$B$1,$B211&amp;":"&amp;P$115&amp;":"&amp;$R$114)</f>
        <v>#</v>
      </c>
      <c r="AE211" s="82" t="str">
        <f>_xll.BLUEMATRIX2("/servlet/excelData",Q211,$B$1,$B211&amp;":"&amp;Q$115&amp;":"&amp;$R$114)</f>
        <v>#</v>
      </c>
    </row>
    <row r="212" spans="1:31" ht="12.95" customHeight="1" x14ac:dyDescent="0.2">
      <c r="A212" s="26" t="s">
        <v>806</v>
      </c>
      <c r="B212" s="29" t="s">
        <v>807</v>
      </c>
      <c r="C212" s="110" t="s">
        <v>808</v>
      </c>
      <c r="D212" s="111"/>
      <c r="E212" s="483"/>
      <c r="F212" s="483"/>
      <c r="G212" s="483">
        <f>FY!G224</f>
        <v>14.5</v>
      </c>
      <c r="H212" s="483">
        <f>FY!H224</f>
        <v>5</v>
      </c>
      <c r="I212" s="483">
        <f>FY!I224</f>
        <v>1.1000000000000001</v>
      </c>
      <c r="J212" s="483">
        <f>FY!J224</f>
        <v>1.1000000000000001</v>
      </c>
      <c r="K212" s="483">
        <f>FY!K224</f>
        <v>1.1000000000000001</v>
      </c>
      <c r="L212" s="483">
        <f>FY!L224</f>
        <v>1.1000000000000001</v>
      </c>
      <c r="M212" s="483">
        <f>FY!M224</f>
        <v>1.1000000000000001</v>
      </c>
      <c r="N212" s="483">
        <f>FY!N224</f>
        <v>1.1000000000000001</v>
      </c>
      <c r="O212" s="483">
        <f>FY!O224</f>
        <v>1.1000000000000001</v>
      </c>
      <c r="P212" s="483">
        <f>FY!P224</f>
        <v>1.1000000000000001</v>
      </c>
      <c r="Q212" s="483">
        <f>FY!Q224</f>
        <v>1.1000000000000001</v>
      </c>
      <c r="R212" s="1"/>
      <c r="S212" s="82" t="str">
        <f>_xll.BLUEMATRIX2("/servlet/excelData",E212,$B$1,$B212&amp;":"&amp;E$115&amp;":"&amp;$R$114)</f>
        <v>#</v>
      </c>
      <c r="T212" s="82" t="str">
        <f>_xll.BLUEMATRIX2("/servlet/excelData",F212,$B$1,$B212&amp;":"&amp;F$115&amp;":"&amp;$R$114)</f>
        <v>#</v>
      </c>
      <c r="U212" s="82" t="str">
        <f>_xll.BLUEMATRIX2("/servlet/excelData",G212,$B$1,$B212&amp;":"&amp;G$115&amp;":"&amp;$R$114)</f>
        <v>#</v>
      </c>
      <c r="V212" s="82" t="str">
        <f>_xll.BLUEMATRIX2("/servlet/excelData",H212,$B$1,$B212&amp;":"&amp;H$115&amp;":"&amp;$R$114)</f>
        <v>#</v>
      </c>
      <c r="W212" s="82" t="str">
        <f>_xll.BLUEMATRIX2("/servlet/excelData",I212,$B$1,$B212&amp;":"&amp;I$115&amp;":"&amp;$R$114)</f>
        <v>#</v>
      </c>
      <c r="X212" s="82" t="str">
        <f>_xll.BLUEMATRIX2("/servlet/excelData",J212,$B$1,$B212&amp;":"&amp;J$115&amp;":"&amp;$R$114)</f>
        <v>#</v>
      </c>
      <c r="Y212" s="82" t="str">
        <f>_xll.BLUEMATRIX2("/servlet/excelData",K212,$B$1,$B212&amp;":"&amp;K$115&amp;":"&amp;$R$114)</f>
        <v>#</v>
      </c>
      <c r="Z212" s="82" t="str">
        <f>_xll.BLUEMATRIX2("/servlet/excelData",L212,$B$1,$B212&amp;":"&amp;L$115&amp;":"&amp;$R$114)</f>
        <v>#</v>
      </c>
      <c r="AA212" s="82" t="str">
        <f>_xll.BLUEMATRIX2("/servlet/excelData",M212,$B$1,$B212&amp;":"&amp;M$115&amp;":"&amp;$R$114)</f>
        <v>#</v>
      </c>
      <c r="AB212" s="82" t="str">
        <f>_xll.BLUEMATRIX2("/servlet/excelData",N212,$B$1,$B212&amp;":"&amp;N$115&amp;":"&amp;$R$114)</f>
        <v>#</v>
      </c>
      <c r="AC212" s="82" t="str">
        <f>_xll.BLUEMATRIX2("/servlet/excelData",O212,$B$1,$B212&amp;":"&amp;O$115&amp;":"&amp;$R$114)</f>
        <v>#</v>
      </c>
      <c r="AD212" s="82" t="str">
        <f>_xll.BLUEMATRIX2("/servlet/excelData",P212,$B$1,$B212&amp;":"&amp;P$115&amp;":"&amp;$R$114)</f>
        <v>#</v>
      </c>
      <c r="AE212" s="82" t="str">
        <f>_xll.BLUEMATRIX2("/servlet/excelData",Q212,$B$1,$B212&amp;":"&amp;Q$115&amp;":"&amp;$R$114)</f>
        <v>#</v>
      </c>
    </row>
    <row r="213" spans="1:31" ht="12.95" customHeight="1" x14ac:dyDescent="0.2">
      <c r="A213" s="26" t="s">
        <v>809</v>
      </c>
      <c r="B213" s="29" t="s">
        <v>810</v>
      </c>
      <c r="C213" s="110" t="s">
        <v>811</v>
      </c>
      <c r="D213" s="111"/>
      <c r="E213" s="483">
        <f>FY!E224</f>
        <v>0</v>
      </c>
      <c r="F213" s="483">
        <f>FY!F224</f>
        <v>0</v>
      </c>
      <c r="G213" s="483">
        <f>FY!G227</f>
        <v>0</v>
      </c>
      <c r="H213" s="483">
        <f>FY!H227</f>
        <v>1.8</v>
      </c>
      <c r="I213" s="483">
        <f>FY!I227</f>
        <v>0</v>
      </c>
      <c r="J213" s="483">
        <f>FY!J227</f>
        <v>0</v>
      </c>
      <c r="K213" s="483">
        <f>FY!K227</f>
        <v>0</v>
      </c>
      <c r="L213" s="483">
        <f>FY!L227</f>
        <v>0</v>
      </c>
      <c r="M213" s="483">
        <f>FY!M227</f>
        <v>0</v>
      </c>
      <c r="N213" s="483">
        <f>FY!N227</f>
        <v>0</v>
      </c>
      <c r="O213" s="483">
        <f>FY!O227</f>
        <v>0</v>
      </c>
      <c r="P213" s="483">
        <f>FY!P227</f>
        <v>0</v>
      </c>
      <c r="Q213" s="483">
        <f>FY!Q227</f>
        <v>0</v>
      </c>
      <c r="R213" s="1"/>
      <c r="S213" s="82" t="str">
        <f>_xll.BLUEMATRIX2("/servlet/excelData",E213,$B$1,$B213&amp;":"&amp;E$115&amp;":"&amp;$R$114)</f>
        <v>#</v>
      </c>
      <c r="T213" s="82" t="str">
        <f>_xll.BLUEMATRIX2("/servlet/excelData",F213,$B$1,$B213&amp;":"&amp;F$115&amp;":"&amp;$R$114)</f>
        <v>#</v>
      </c>
      <c r="U213" s="82" t="str">
        <f>_xll.BLUEMATRIX2("/servlet/excelData",G213,$B$1,$B213&amp;":"&amp;G$115&amp;":"&amp;$R$114)</f>
        <v>#</v>
      </c>
      <c r="V213" s="82" t="str">
        <f>_xll.BLUEMATRIX2("/servlet/excelData",H213,$B$1,$B213&amp;":"&amp;H$115&amp;":"&amp;$R$114)</f>
        <v>#</v>
      </c>
      <c r="W213" s="82" t="str">
        <f>_xll.BLUEMATRIX2("/servlet/excelData",I213,$B$1,$B213&amp;":"&amp;I$115&amp;":"&amp;$R$114)</f>
        <v>#</v>
      </c>
      <c r="X213" s="82" t="str">
        <f>_xll.BLUEMATRIX2("/servlet/excelData",J213,$B$1,$B213&amp;":"&amp;J$115&amp;":"&amp;$R$114)</f>
        <v>#</v>
      </c>
      <c r="Y213" s="82" t="str">
        <f>_xll.BLUEMATRIX2("/servlet/excelData",K213,$B$1,$B213&amp;":"&amp;K$115&amp;":"&amp;$R$114)</f>
        <v>#</v>
      </c>
      <c r="Z213" s="82" t="str">
        <f>_xll.BLUEMATRIX2("/servlet/excelData",L213,$B$1,$B213&amp;":"&amp;L$115&amp;":"&amp;$R$114)</f>
        <v>#</v>
      </c>
      <c r="AA213" s="82" t="str">
        <f>_xll.BLUEMATRIX2("/servlet/excelData",M213,$B$1,$B213&amp;":"&amp;M$115&amp;":"&amp;$R$114)</f>
        <v>#</v>
      </c>
      <c r="AB213" s="82" t="str">
        <f>_xll.BLUEMATRIX2("/servlet/excelData",N213,$B$1,$B213&amp;":"&amp;N$115&amp;":"&amp;$R$114)</f>
        <v>#</v>
      </c>
      <c r="AC213" s="82" t="str">
        <f>_xll.BLUEMATRIX2("/servlet/excelData",O213,$B$1,$B213&amp;":"&amp;O$115&amp;":"&amp;$R$114)</f>
        <v>#</v>
      </c>
      <c r="AD213" s="82" t="str">
        <f>_xll.BLUEMATRIX2("/servlet/excelData",P213,$B$1,$B213&amp;":"&amp;P$115&amp;":"&amp;$R$114)</f>
        <v>#</v>
      </c>
      <c r="AE213" s="82" t="str">
        <f>_xll.BLUEMATRIX2("/servlet/excelData",Q213,$B$1,$B213&amp;":"&amp;Q$115&amp;":"&amp;$R$114)</f>
        <v>#</v>
      </c>
    </row>
    <row r="214" spans="1:31" ht="12.95" customHeight="1" x14ac:dyDescent="0.2">
      <c r="A214" s="26" t="s">
        <v>812</v>
      </c>
      <c r="B214" s="29" t="s">
        <v>813</v>
      </c>
      <c r="C214" s="110" t="s">
        <v>814</v>
      </c>
      <c r="D214" s="111"/>
      <c r="E214" s="483"/>
      <c r="F214" s="483"/>
      <c r="G214" s="483"/>
      <c r="H214" s="483"/>
      <c r="I214" s="483"/>
      <c r="J214" s="483"/>
      <c r="K214" s="483"/>
      <c r="L214" s="483"/>
      <c r="M214" s="483"/>
      <c r="N214" s="483"/>
      <c r="O214" s="483"/>
      <c r="P214" s="483"/>
      <c r="Q214" s="483"/>
      <c r="R214" s="1"/>
      <c r="S214" s="82" t="str">
        <f>_xll.BLUEMATRIX2("/servlet/excelData",E214,$B$1,$B214&amp;":"&amp;E$115&amp;":"&amp;$R$114)</f>
        <v>#</v>
      </c>
      <c r="T214" s="82" t="str">
        <f>_xll.BLUEMATRIX2("/servlet/excelData",F214,$B$1,$B214&amp;":"&amp;F$115&amp;":"&amp;$R$114)</f>
        <v>#</v>
      </c>
      <c r="U214" s="82" t="str">
        <f>_xll.BLUEMATRIX2("/servlet/excelData",G214,$B$1,$B214&amp;":"&amp;G$115&amp;":"&amp;$R$114)</f>
        <v>#</v>
      </c>
      <c r="V214" s="82" t="str">
        <f>_xll.BLUEMATRIX2("/servlet/excelData",H214,$B$1,$B214&amp;":"&amp;H$115&amp;":"&amp;$R$114)</f>
        <v>#</v>
      </c>
      <c r="W214" s="82" t="str">
        <f>_xll.BLUEMATRIX2("/servlet/excelData",I214,$B$1,$B214&amp;":"&amp;I$115&amp;":"&amp;$R$114)</f>
        <v>#</v>
      </c>
      <c r="X214" s="82" t="str">
        <f>_xll.BLUEMATRIX2("/servlet/excelData",J214,$B$1,$B214&amp;":"&amp;J$115&amp;":"&amp;$R$114)</f>
        <v>#</v>
      </c>
      <c r="Y214" s="82" t="str">
        <f>_xll.BLUEMATRIX2("/servlet/excelData",K214,$B$1,$B214&amp;":"&amp;K$115&amp;":"&amp;$R$114)</f>
        <v>#</v>
      </c>
      <c r="Z214" s="82" t="str">
        <f>_xll.BLUEMATRIX2("/servlet/excelData",L214,$B$1,$B214&amp;":"&amp;L$115&amp;":"&amp;$R$114)</f>
        <v>#</v>
      </c>
      <c r="AA214" s="82" t="str">
        <f>_xll.BLUEMATRIX2("/servlet/excelData",M214,$B$1,$B214&amp;":"&amp;M$115&amp;":"&amp;$R$114)</f>
        <v>#</v>
      </c>
      <c r="AB214" s="82" t="str">
        <f>_xll.BLUEMATRIX2("/servlet/excelData",N214,$B$1,$B214&amp;":"&amp;N$115&amp;":"&amp;$R$114)</f>
        <v>#</v>
      </c>
      <c r="AC214" s="82" t="str">
        <f>_xll.BLUEMATRIX2("/servlet/excelData",O214,$B$1,$B214&amp;":"&amp;O$115&amp;":"&amp;$R$114)</f>
        <v>#</v>
      </c>
      <c r="AD214" s="82" t="str">
        <f>_xll.BLUEMATRIX2("/servlet/excelData",P214,$B$1,$B214&amp;":"&amp;P$115&amp;":"&amp;$R$114)</f>
        <v>#</v>
      </c>
      <c r="AE214" s="82" t="str">
        <f>_xll.BLUEMATRIX2("/servlet/excelData",Q214,$B$1,$B214&amp;":"&amp;Q$115&amp;":"&amp;$R$114)</f>
        <v>#</v>
      </c>
    </row>
    <row r="215" spans="1:31" ht="12.95" customHeight="1" x14ac:dyDescent="0.2">
      <c r="A215" s="26" t="s">
        <v>815</v>
      </c>
      <c r="B215" s="29" t="s">
        <v>816</v>
      </c>
      <c r="C215" s="110" t="s">
        <v>817</v>
      </c>
      <c r="D215" s="111"/>
      <c r="E215" s="483">
        <f>FY!E226+FY!E229</f>
        <v>0</v>
      </c>
      <c r="F215" s="483">
        <f>FY!F226+FY!F229</f>
        <v>0</v>
      </c>
      <c r="G215" s="569">
        <f>FY!G226+FY!G229+FY!G228</f>
        <v>0.2</v>
      </c>
      <c r="H215" s="483">
        <f>FY!H226+FY!H229+FY!H228</f>
        <v>5.0999999999999996</v>
      </c>
      <c r="I215" s="483">
        <f>FY!I226+FY!I229+FY!I228</f>
        <v>4.3</v>
      </c>
      <c r="J215" s="483">
        <f>FY!J226+FY!J229+FY!J228</f>
        <v>4.3</v>
      </c>
      <c r="K215" s="483">
        <f>FY!K226+FY!K229+FY!K228</f>
        <v>4.3</v>
      </c>
      <c r="L215" s="483">
        <f>FY!L226+FY!L229+FY!L228</f>
        <v>4.3</v>
      </c>
      <c r="M215" s="483">
        <f>FY!M226+FY!M229+FY!M228</f>
        <v>4.3</v>
      </c>
      <c r="N215" s="483">
        <f>FY!N226+FY!N229+FY!N228</f>
        <v>4.3</v>
      </c>
      <c r="O215" s="483">
        <f>FY!O226+FY!O229+FY!O228</f>
        <v>4.3</v>
      </c>
      <c r="P215" s="483">
        <f>FY!P226+FY!P229+FY!P228</f>
        <v>4.3</v>
      </c>
      <c r="Q215" s="483">
        <f>FY!Q226+FY!Q229+FY!Q228</f>
        <v>4.3</v>
      </c>
      <c r="R215" s="1"/>
      <c r="S215" s="82" t="str">
        <f>_xll.BLUEMATRIX2("/servlet/excelData",E215,$B$1,$B215&amp;":"&amp;E$115&amp;":"&amp;$R$114)</f>
        <v>#</v>
      </c>
      <c r="T215" s="82" t="str">
        <f>_xll.BLUEMATRIX2("/servlet/excelData",F215,$B$1,$B215&amp;":"&amp;F$115&amp;":"&amp;$R$114)</f>
        <v>#</v>
      </c>
      <c r="U215" s="82" t="str">
        <f>_xll.BLUEMATRIX2("/servlet/excelData",G215,$B$1,$B215&amp;":"&amp;G$115&amp;":"&amp;$R$114)</f>
        <v>#</v>
      </c>
      <c r="V215" s="82" t="str">
        <f>_xll.BLUEMATRIX2("/servlet/excelData",H215,$B$1,$B215&amp;":"&amp;H$115&amp;":"&amp;$R$114)</f>
        <v>#</v>
      </c>
      <c r="W215" s="82" t="str">
        <f>_xll.BLUEMATRIX2("/servlet/excelData",I215,$B$1,$B215&amp;":"&amp;I$115&amp;":"&amp;$R$114)</f>
        <v>#</v>
      </c>
      <c r="X215" s="82" t="str">
        <f>_xll.BLUEMATRIX2("/servlet/excelData",J215,$B$1,$B215&amp;":"&amp;J$115&amp;":"&amp;$R$114)</f>
        <v>#</v>
      </c>
      <c r="Y215" s="82" t="str">
        <f>_xll.BLUEMATRIX2("/servlet/excelData",K215,$B$1,$B215&amp;":"&amp;K$115&amp;":"&amp;$R$114)</f>
        <v>#</v>
      </c>
      <c r="Z215" s="82" t="str">
        <f>_xll.BLUEMATRIX2("/servlet/excelData",L215,$B$1,$B215&amp;":"&amp;L$115&amp;":"&amp;$R$114)</f>
        <v>#</v>
      </c>
      <c r="AA215" s="82" t="str">
        <f>_xll.BLUEMATRIX2("/servlet/excelData",M215,$B$1,$B215&amp;":"&amp;M$115&amp;":"&amp;$R$114)</f>
        <v>#</v>
      </c>
      <c r="AB215" s="82" t="str">
        <f>_xll.BLUEMATRIX2("/servlet/excelData",N215,$B$1,$B215&amp;":"&amp;N$115&amp;":"&amp;$R$114)</f>
        <v>#</v>
      </c>
      <c r="AC215" s="82" t="str">
        <f>_xll.BLUEMATRIX2("/servlet/excelData",O215,$B$1,$B215&amp;":"&amp;O$115&amp;":"&amp;$R$114)</f>
        <v>#</v>
      </c>
      <c r="AD215" s="82" t="str">
        <f>_xll.BLUEMATRIX2("/servlet/excelData",P215,$B$1,$B215&amp;":"&amp;P$115&amp;":"&amp;$R$114)</f>
        <v>#</v>
      </c>
      <c r="AE215" s="82" t="str">
        <f>_xll.BLUEMATRIX2("/servlet/excelData",Q215,$B$1,$B215&amp;":"&amp;Q$115&amp;":"&amp;$R$114)</f>
        <v>#</v>
      </c>
    </row>
    <row r="216" spans="1:31" ht="12.95" customHeight="1" x14ac:dyDescent="0.2">
      <c r="A216" s="26" t="s">
        <v>818</v>
      </c>
      <c r="B216" s="29" t="s">
        <v>819</v>
      </c>
      <c r="C216" s="133" t="s">
        <v>820</v>
      </c>
      <c r="D216" s="114"/>
      <c r="E216" s="114">
        <f t="shared" ref="E216:Q216" si="24">E209+E210+E211+E212+E213+E214+E215</f>
        <v>0</v>
      </c>
      <c r="F216" s="114">
        <f t="shared" si="24"/>
        <v>0</v>
      </c>
      <c r="G216" s="114">
        <f t="shared" si="24"/>
        <v>14.799999999999999</v>
      </c>
      <c r="H216" s="114">
        <f t="shared" si="24"/>
        <v>11.899999999999999</v>
      </c>
      <c r="I216" s="114">
        <f t="shared" si="24"/>
        <v>39.199999999999996</v>
      </c>
      <c r="J216" s="114">
        <f t="shared" si="24"/>
        <v>39.199999999999996</v>
      </c>
      <c r="K216" s="114">
        <f t="shared" si="24"/>
        <v>39.199999999999996</v>
      </c>
      <c r="L216" s="114">
        <f t="shared" si="24"/>
        <v>39.199999999999996</v>
      </c>
      <c r="M216" s="114">
        <f t="shared" si="24"/>
        <v>39.199999999999996</v>
      </c>
      <c r="N216" s="114">
        <f t="shared" si="24"/>
        <v>39.199999999999996</v>
      </c>
      <c r="O216" s="114">
        <f t="shared" si="24"/>
        <v>39.199999999999996</v>
      </c>
      <c r="P216" s="114">
        <f t="shared" si="24"/>
        <v>39.199999999999996</v>
      </c>
      <c r="Q216" s="114">
        <f t="shared" si="24"/>
        <v>39.199999999999996</v>
      </c>
      <c r="R216" s="1"/>
      <c r="S216" s="82" t="str">
        <f>_xll.BLUEMATRIX2("/servlet/excelData",E216,$B$1,$B216&amp;":"&amp;E$115&amp;":"&amp;$R$114)</f>
        <v>#</v>
      </c>
      <c r="T216" s="82" t="str">
        <f>_xll.BLUEMATRIX2("/servlet/excelData",F216,$B$1,$B216&amp;":"&amp;F$115&amp;":"&amp;$R$114)</f>
        <v>#</v>
      </c>
      <c r="U216" s="82" t="str">
        <f>_xll.BLUEMATRIX2("/servlet/excelData",G216,$B$1,$B216&amp;":"&amp;G$115&amp;":"&amp;$R$114)</f>
        <v>#</v>
      </c>
      <c r="V216" s="82" t="str">
        <f>_xll.BLUEMATRIX2("/servlet/excelData",H216,$B$1,$B216&amp;":"&amp;H$115&amp;":"&amp;$R$114)</f>
        <v>#</v>
      </c>
      <c r="W216" s="82" t="str">
        <f>_xll.BLUEMATRIX2("/servlet/excelData",I216,$B$1,$B216&amp;":"&amp;I$115&amp;":"&amp;$R$114)</f>
        <v>#</v>
      </c>
      <c r="X216" s="82" t="str">
        <f>_xll.BLUEMATRIX2("/servlet/excelData",J216,$B$1,$B216&amp;":"&amp;J$115&amp;":"&amp;$R$114)</f>
        <v>#</v>
      </c>
      <c r="Y216" s="82" t="str">
        <f>_xll.BLUEMATRIX2("/servlet/excelData",K216,$B$1,$B216&amp;":"&amp;K$115&amp;":"&amp;$R$114)</f>
        <v>#</v>
      </c>
      <c r="Z216" s="82" t="str">
        <f>_xll.BLUEMATRIX2("/servlet/excelData",L216,$B$1,$B216&amp;":"&amp;L$115&amp;":"&amp;$R$114)</f>
        <v>#</v>
      </c>
      <c r="AA216" s="82" t="str">
        <f>_xll.BLUEMATRIX2("/servlet/excelData",M216,$B$1,$B216&amp;":"&amp;M$115&amp;":"&amp;$R$114)</f>
        <v>#</v>
      </c>
      <c r="AB216" s="82" t="str">
        <f>_xll.BLUEMATRIX2("/servlet/excelData",N216,$B$1,$B216&amp;":"&amp;N$115&amp;":"&amp;$R$114)</f>
        <v>#</v>
      </c>
      <c r="AC216" s="82" t="str">
        <f>_xll.BLUEMATRIX2("/servlet/excelData",O216,$B$1,$B216&amp;":"&amp;O$115&amp;":"&amp;$R$114)</f>
        <v>#</v>
      </c>
      <c r="AD216" s="82" t="str">
        <f>_xll.BLUEMATRIX2("/servlet/excelData",P216,$B$1,$B216&amp;":"&amp;P$115&amp;":"&amp;$R$114)</f>
        <v>#</v>
      </c>
      <c r="AE216" s="82" t="str">
        <f>_xll.BLUEMATRIX2("/servlet/excelData",Q216,$B$1,$B216&amp;":"&amp;Q$115&amp;":"&amp;$R$114)</f>
        <v>#</v>
      </c>
    </row>
    <row r="217" spans="1:31" ht="12.95" customHeight="1" x14ac:dyDescent="0.2">
      <c r="A217" s="26" t="s">
        <v>821</v>
      </c>
      <c r="B217" s="29" t="s">
        <v>822</v>
      </c>
      <c r="C217" s="134" t="s">
        <v>823</v>
      </c>
      <c r="D217" s="114"/>
      <c r="E217" s="114">
        <f t="shared" ref="E217:Q217" si="25">E203</f>
        <v>0</v>
      </c>
      <c r="F217" s="114">
        <f t="shared" si="25"/>
        <v>0</v>
      </c>
      <c r="G217" s="114">
        <f t="shared" si="25"/>
        <v>11.6</v>
      </c>
      <c r="H217" s="114">
        <f t="shared" si="25"/>
        <v>20.399999999999999</v>
      </c>
      <c r="I217" s="114">
        <f t="shared" si="25"/>
        <v>25.4</v>
      </c>
      <c r="J217" s="114">
        <f t="shared" si="25"/>
        <v>27.460432304218667</v>
      </c>
      <c r="K217" s="114">
        <f t="shared" si="25"/>
        <v>28.833453919429598</v>
      </c>
      <c r="L217" s="114">
        <f t="shared" si="25"/>
        <v>30.275126615401078</v>
      </c>
      <c r="M217" s="114">
        <f t="shared" si="25"/>
        <v>31.788882946171139</v>
      </c>
      <c r="N217" s="114">
        <f t="shared" si="25"/>
        <v>33.378327093479697</v>
      </c>
      <c r="O217" s="114">
        <f t="shared" si="25"/>
        <v>35.047243448153687</v>
      </c>
      <c r="P217" s="114">
        <f t="shared" si="25"/>
        <v>36.799605620561373</v>
      </c>
      <c r="Q217" s="114">
        <f t="shared" si="25"/>
        <v>38.639585901589442</v>
      </c>
      <c r="R217" s="1"/>
      <c r="S217" s="82" t="str">
        <f>_xll.BLUEMATRIX2("/servlet/excelData",E217,$B$1,$B217&amp;":"&amp;E$115&amp;":"&amp;$R$114)</f>
        <v>#</v>
      </c>
      <c r="T217" s="82" t="str">
        <f>_xll.BLUEMATRIX2("/servlet/excelData",F217,$B$1,$B217&amp;":"&amp;F$115&amp;":"&amp;$R$114)</f>
        <v>#</v>
      </c>
      <c r="U217" s="82" t="str">
        <f>_xll.BLUEMATRIX2("/servlet/excelData",G217,$B$1,$B217&amp;":"&amp;G$115&amp;":"&amp;$R$114)</f>
        <v>#</v>
      </c>
      <c r="V217" s="82" t="str">
        <f>_xll.BLUEMATRIX2("/servlet/excelData",H217,$B$1,$B217&amp;":"&amp;H$115&amp;":"&amp;$R$114)</f>
        <v>#</v>
      </c>
      <c r="W217" s="82" t="str">
        <f>_xll.BLUEMATRIX2("/servlet/excelData",I217,$B$1,$B217&amp;":"&amp;I$115&amp;":"&amp;$R$114)</f>
        <v>#</v>
      </c>
      <c r="X217" s="82" t="str">
        <f>_xll.BLUEMATRIX2("/servlet/excelData",J217,$B$1,$B217&amp;":"&amp;J$115&amp;":"&amp;$R$114)</f>
        <v>#</v>
      </c>
      <c r="Y217" s="82" t="str">
        <f>_xll.BLUEMATRIX2("/servlet/excelData",K217,$B$1,$B217&amp;":"&amp;K$115&amp;":"&amp;$R$114)</f>
        <v>#</v>
      </c>
      <c r="Z217" s="82" t="str">
        <f>_xll.BLUEMATRIX2("/servlet/excelData",L217,$B$1,$B217&amp;":"&amp;L$115&amp;":"&amp;$R$114)</f>
        <v>#</v>
      </c>
      <c r="AA217" s="82" t="str">
        <f>_xll.BLUEMATRIX2("/servlet/excelData",M217,$B$1,$B217&amp;":"&amp;M$115&amp;":"&amp;$R$114)</f>
        <v>#</v>
      </c>
      <c r="AB217" s="82" t="str">
        <f>_xll.BLUEMATRIX2("/servlet/excelData",N217,$B$1,$B217&amp;":"&amp;N$115&amp;":"&amp;$R$114)</f>
        <v>#</v>
      </c>
      <c r="AC217" s="82" t="str">
        <f>_xll.BLUEMATRIX2("/servlet/excelData",O217,$B$1,$B217&amp;":"&amp;O$115&amp;":"&amp;$R$114)</f>
        <v>#</v>
      </c>
      <c r="AD217" s="82" t="str">
        <f>_xll.BLUEMATRIX2("/servlet/excelData",P217,$B$1,$B217&amp;":"&amp;P$115&amp;":"&amp;$R$114)</f>
        <v>#</v>
      </c>
      <c r="AE217" s="82" t="str">
        <f>_xll.BLUEMATRIX2("/servlet/excelData",Q217,$B$1,$B217&amp;":"&amp;Q$115&amp;":"&amp;$R$114)</f>
        <v>#</v>
      </c>
    </row>
    <row r="218" spans="1:31" ht="12.95" customHeight="1" x14ac:dyDescent="0.2">
      <c r="A218" s="26" t="s">
        <v>824</v>
      </c>
      <c r="B218" s="29" t="s">
        <v>825</v>
      </c>
      <c r="C218" s="135" t="s">
        <v>826</v>
      </c>
      <c r="D218" s="114"/>
      <c r="E218" s="114">
        <f t="shared" ref="E218:Q218" si="26">E208+E216</f>
        <v>0</v>
      </c>
      <c r="F218" s="114">
        <f t="shared" si="26"/>
        <v>0</v>
      </c>
      <c r="G218" s="114">
        <f t="shared" si="26"/>
        <v>34.1</v>
      </c>
      <c r="H218" s="114">
        <f t="shared" si="26"/>
        <v>84.5</v>
      </c>
      <c r="I218" s="114">
        <f t="shared" si="26"/>
        <v>80.5</v>
      </c>
      <c r="J218" s="114">
        <f t="shared" si="26"/>
        <v>82.560432304218665</v>
      </c>
      <c r="K218" s="114">
        <f t="shared" si="26"/>
        <v>83.933453919429596</v>
      </c>
      <c r="L218" s="114">
        <f t="shared" si="26"/>
        <v>85.375126615401072</v>
      </c>
      <c r="M218" s="114">
        <f t="shared" si="26"/>
        <v>86.888882946171137</v>
      </c>
      <c r="N218" s="114">
        <f t="shared" si="26"/>
        <v>88.478327093479692</v>
      </c>
      <c r="O218" s="114">
        <f t="shared" si="26"/>
        <v>90.147243448153688</v>
      </c>
      <c r="P218" s="114">
        <f t="shared" si="26"/>
        <v>91.899605620561374</v>
      </c>
      <c r="Q218" s="114">
        <f t="shared" si="26"/>
        <v>93.739585901589436</v>
      </c>
      <c r="R218" s="1"/>
      <c r="S218" s="82" t="str">
        <f>_xll.BLUEMATRIX2("/servlet/excelData",E218,$B$1,$B218&amp;":"&amp;E$115&amp;":"&amp;$R$114)</f>
        <v>#</v>
      </c>
      <c r="T218" s="82" t="str">
        <f>_xll.BLUEMATRIX2("/servlet/excelData",F218,$B$1,$B218&amp;":"&amp;F$115&amp;":"&amp;$R$114)</f>
        <v>#</v>
      </c>
      <c r="U218" s="82" t="str">
        <f>_xll.BLUEMATRIX2("/servlet/excelData",G218,$B$1,$B218&amp;":"&amp;G$115&amp;":"&amp;$R$114)</f>
        <v>#</v>
      </c>
      <c r="V218" s="82" t="str">
        <f>_xll.BLUEMATRIX2("/servlet/excelData",H218,$B$1,$B218&amp;":"&amp;H$115&amp;":"&amp;$R$114)</f>
        <v>#</v>
      </c>
      <c r="W218" s="82" t="str">
        <f>_xll.BLUEMATRIX2("/servlet/excelData",I218,$B$1,$B218&amp;":"&amp;I$115&amp;":"&amp;$R$114)</f>
        <v>#</v>
      </c>
      <c r="X218" s="82" t="str">
        <f>_xll.BLUEMATRIX2("/servlet/excelData",J218,$B$1,$B218&amp;":"&amp;J$115&amp;":"&amp;$R$114)</f>
        <v>#</v>
      </c>
      <c r="Y218" s="82" t="str">
        <f>_xll.BLUEMATRIX2("/servlet/excelData",K218,$B$1,$B218&amp;":"&amp;K$115&amp;":"&amp;$R$114)</f>
        <v>#</v>
      </c>
      <c r="Z218" s="82" t="str">
        <f>_xll.BLUEMATRIX2("/servlet/excelData",L218,$B$1,$B218&amp;":"&amp;L$115&amp;":"&amp;$R$114)</f>
        <v>#</v>
      </c>
      <c r="AA218" s="82" t="str">
        <f>_xll.BLUEMATRIX2("/servlet/excelData",M218,$B$1,$B218&amp;":"&amp;M$115&amp;":"&amp;$R$114)</f>
        <v>#</v>
      </c>
      <c r="AB218" s="82" t="str">
        <f>_xll.BLUEMATRIX2("/servlet/excelData",N218,$B$1,$B218&amp;":"&amp;N$115&amp;":"&amp;$R$114)</f>
        <v>#</v>
      </c>
      <c r="AC218" s="82" t="str">
        <f>_xll.BLUEMATRIX2("/servlet/excelData",O218,$B$1,$B218&amp;":"&amp;O$115&amp;":"&amp;$R$114)</f>
        <v>#</v>
      </c>
      <c r="AD218" s="82" t="str">
        <f>_xll.BLUEMATRIX2("/servlet/excelData",P218,$B$1,$B218&amp;":"&amp;P$115&amp;":"&amp;$R$114)</f>
        <v>#</v>
      </c>
      <c r="AE218" s="82" t="str">
        <f>_xll.BLUEMATRIX2("/servlet/excelData",Q218,$B$1,$B218&amp;":"&amp;Q$115&amp;":"&amp;$R$114)</f>
        <v>#</v>
      </c>
    </row>
    <row r="219" spans="1:31" ht="12.95" customHeight="1" x14ac:dyDescent="0.2">
      <c r="A219" s="26"/>
      <c r="B219" s="29"/>
      <c r="C219" s="121" t="s">
        <v>827</v>
      </c>
      <c r="D219" s="122"/>
      <c r="E219" s="486">
        <f>ROUND(FY!E232-E218,2)</f>
        <v>0</v>
      </c>
      <c r="F219" s="486">
        <f>ROUND(FY!F232-F218,2)</f>
        <v>0</v>
      </c>
      <c r="G219" s="486">
        <f>ROUND(FY!G232-G218,2)</f>
        <v>0</v>
      </c>
      <c r="H219" s="486">
        <f>ROUND(FY!H232-H218,2)</f>
        <v>0</v>
      </c>
      <c r="I219" s="486">
        <f>ROUND(FY!I232-I218,2)</f>
        <v>0</v>
      </c>
      <c r="J219" s="486">
        <f>ROUND(FY!J232-J218,2)</f>
        <v>0</v>
      </c>
      <c r="K219" s="486">
        <f>ROUND(FY!K232-K218,2)</f>
        <v>0</v>
      </c>
      <c r="L219" s="486">
        <f>ROUND(FY!L232-L218,2)</f>
        <v>0</v>
      </c>
      <c r="M219" s="486">
        <f>ROUND(FY!M232-M218,2)</f>
        <v>0</v>
      </c>
      <c r="N219" s="486">
        <f>ROUND(FY!N232-N218,2)</f>
        <v>0</v>
      </c>
      <c r="O219" s="486">
        <f>ROUND(FY!O232-O218,2)</f>
        <v>0</v>
      </c>
      <c r="P219" s="486">
        <f>ROUND(FY!P232-P218,2)</f>
        <v>0</v>
      </c>
      <c r="Q219" s="486">
        <f>ROUND(FY!Q232-Q218,2)</f>
        <v>0</v>
      </c>
      <c r="R219" s="112"/>
      <c r="S219" s="82"/>
      <c r="T219" s="82"/>
      <c r="U219" s="82"/>
      <c r="V219" s="82"/>
      <c r="W219" s="82"/>
      <c r="X219" s="82"/>
      <c r="Y219" s="82"/>
      <c r="Z219" s="82"/>
      <c r="AA219" s="82"/>
      <c r="AB219" s="82"/>
      <c r="AC219" s="82"/>
      <c r="AD219" s="82"/>
      <c r="AE219" s="82"/>
    </row>
    <row r="220" spans="1:31" ht="12.95" customHeight="1" x14ac:dyDescent="0.2">
      <c r="A220" s="26"/>
      <c r="B220" s="29"/>
      <c r="C220" s="121"/>
      <c r="D220" s="136"/>
      <c r="E220" s="137"/>
      <c r="F220" s="137"/>
      <c r="G220" s="137"/>
      <c r="H220" s="137"/>
      <c r="I220" s="137"/>
      <c r="J220" s="137"/>
      <c r="K220" s="137"/>
      <c r="L220" s="137"/>
      <c r="M220" s="137"/>
      <c r="N220" s="137"/>
      <c r="O220" s="137"/>
      <c r="P220" s="137"/>
      <c r="Q220" s="137"/>
      <c r="R220" s="112"/>
      <c r="S220" s="82"/>
      <c r="T220" s="82"/>
      <c r="U220" s="82"/>
      <c r="V220" s="82"/>
      <c r="W220" s="82"/>
      <c r="X220" s="82"/>
      <c r="Y220" s="82"/>
      <c r="Z220" s="82"/>
      <c r="AA220" s="82"/>
      <c r="AB220" s="82"/>
      <c r="AC220" s="82"/>
      <c r="AD220" s="82"/>
      <c r="AE220" s="82"/>
    </row>
    <row r="221" spans="1:31" ht="12.95" customHeight="1" x14ac:dyDescent="0.2">
      <c r="A221" s="26"/>
      <c r="B221" s="29"/>
      <c r="C221" s="138" t="s">
        <v>828</v>
      </c>
      <c r="D221" s="139"/>
      <c r="E221" s="139"/>
      <c r="F221" s="139"/>
      <c r="G221" s="139"/>
      <c r="H221" s="139"/>
      <c r="I221" s="139"/>
      <c r="J221" s="139"/>
      <c r="K221" s="139"/>
      <c r="L221" s="139"/>
      <c r="M221" s="139"/>
      <c r="N221" s="139"/>
      <c r="O221" s="139"/>
      <c r="P221" s="139"/>
      <c r="Q221" s="139"/>
      <c r="R221" s="1"/>
      <c r="S221" s="82"/>
      <c r="T221" s="82"/>
      <c r="U221" s="82"/>
      <c r="V221" s="82"/>
      <c r="W221" s="82"/>
      <c r="X221" s="82"/>
      <c r="Y221" s="82"/>
      <c r="Z221" s="82"/>
      <c r="AA221" s="82"/>
      <c r="AB221" s="82"/>
      <c r="AC221" s="82"/>
      <c r="AD221" s="82"/>
      <c r="AE221" s="82"/>
    </row>
    <row r="222" spans="1:31" ht="12.95" customHeight="1" x14ac:dyDescent="0.2">
      <c r="A222" s="26" t="s">
        <v>829</v>
      </c>
      <c r="B222" s="29" t="s">
        <v>830</v>
      </c>
      <c r="C222" s="110" t="s">
        <v>831</v>
      </c>
      <c r="D222" s="111"/>
      <c r="E222" s="483">
        <f>FY!E234</f>
        <v>0</v>
      </c>
      <c r="F222" s="483">
        <f>FY!F234</f>
        <v>0</v>
      </c>
      <c r="G222" s="483">
        <f>FY!G234</f>
        <v>67.099999999999994</v>
      </c>
      <c r="H222" s="483">
        <f>FY!H234</f>
        <v>261.39999999999998</v>
      </c>
      <c r="I222" s="483">
        <f>FY!I234</f>
        <v>253.8</v>
      </c>
      <c r="J222" s="483">
        <f>FY!J234</f>
        <v>253.8</v>
      </c>
      <c r="K222" s="483">
        <f>FY!K234</f>
        <v>253.8</v>
      </c>
      <c r="L222" s="483">
        <f>FY!L234</f>
        <v>253.8</v>
      </c>
      <c r="M222" s="483">
        <f>FY!M234</f>
        <v>253.8</v>
      </c>
      <c r="N222" s="483">
        <f>FY!N234</f>
        <v>253.8</v>
      </c>
      <c r="O222" s="483">
        <f>FY!O234</f>
        <v>253.8</v>
      </c>
      <c r="P222" s="483">
        <f>FY!P234</f>
        <v>253.8</v>
      </c>
      <c r="Q222" s="483">
        <f>FY!Q234</f>
        <v>253.8</v>
      </c>
      <c r="R222" s="1"/>
      <c r="S222" s="82" t="str">
        <f>_xll.BLUEMATRIX2("/servlet/excelData",E222,$B$1,$B222&amp;":"&amp;E$115&amp;":"&amp;$R$114)</f>
        <v>#</v>
      </c>
      <c r="T222" s="82" t="str">
        <f>_xll.BLUEMATRIX2("/servlet/excelData",F222,$B$1,$B222&amp;":"&amp;F$115&amp;":"&amp;$R$114)</f>
        <v>#</v>
      </c>
      <c r="U222" s="82" t="str">
        <f>_xll.BLUEMATRIX2("/servlet/excelData",G222,$B$1,$B222&amp;":"&amp;G$115&amp;":"&amp;$R$114)</f>
        <v>#</v>
      </c>
      <c r="V222" s="82" t="str">
        <f>_xll.BLUEMATRIX2("/servlet/excelData",H222,$B$1,$B222&amp;":"&amp;H$115&amp;":"&amp;$R$114)</f>
        <v>#</v>
      </c>
      <c r="W222" s="82" t="str">
        <f>_xll.BLUEMATRIX2("/servlet/excelData",I222,$B$1,$B222&amp;":"&amp;I$115&amp;":"&amp;$R$114)</f>
        <v>#</v>
      </c>
      <c r="X222" s="82" t="str">
        <f>_xll.BLUEMATRIX2("/servlet/excelData",J222,$B$1,$B222&amp;":"&amp;J$115&amp;":"&amp;$R$114)</f>
        <v>#</v>
      </c>
      <c r="Y222" s="82" t="str">
        <f>_xll.BLUEMATRIX2("/servlet/excelData",K222,$B$1,$B222&amp;":"&amp;K$115&amp;":"&amp;$R$114)</f>
        <v>#</v>
      </c>
      <c r="Z222" s="82" t="str">
        <f>_xll.BLUEMATRIX2("/servlet/excelData",L222,$B$1,$B222&amp;":"&amp;L$115&amp;":"&amp;$R$114)</f>
        <v>#</v>
      </c>
      <c r="AA222" s="82" t="str">
        <f>_xll.BLUEMATRIX2("/servlet/excelData",M222,$B$1,$B222&amp;":"&amp;M$115&amp;":"&amp;$R$114)</f>
        <v>#</v>
      </c>
      <c r="AB222" s="82" t="str">
        <f>_xll.BLUEMATRIX2("/servlet/excelData",N222,$B$1,$B222&amp;":"&amp;N$115&amp;":"&amp;$R$114)</f>
        <v>#</v>
      </c>
      <c r="AC222" s="82" t="str">
        <f>_xll.BLUEMATRIX2("/servlet/excelData",O222,$B$1,$B222&amp;":"&amp;O$115&amp;":"&amp;$R$114)</f>
        <v>#</v>
      </c>
      <c r="AD222" s="82" t="str">
        <f>_xll.BLUEMATRIX2("/servlet/excelData",P222,$B$1,$B222&amp;":"&amp;P$115&amp;":"&amp;$R$114)</f>
        <v>#</v>
      </c>
      <c r="AE222" s="82" t="str">
        <f>_xll.BLUEMATRIX2("/servlet/excelData",Q222,$B$1,$B222&amp;":"&amp;Q$115&amp;":"&amp;$R$114)</f>
        <v>#</v>
      </c>
    </row>
    <row r="223" spans="1:31" ht="12.95" customHeight="1" x14ac:dyDescent="0.2">
      <c r="A223" s="26" t="s">
        <v>832</v>
      </c>
      <c r="B223" s="29" t="s">
        <v>833</v>
      </c>
      <c r="C223" s="110" t="s">
        <v>192</v>
      </c>
      <c r="D223" s="111"/>
      <c r="E223" s="483">
        <f>FY!E235</f>
        <v>0</v>
      </c>
      <c r="F223" s="483">
        <f>FY!F235</f>
        <v>0</v>
      </c>
      <c r="G223" s="483">
        <f>FY!G235</f>
        <v>7.8</v>
      </c>
      <c r="H223" s="483">
        <f>FY!H235</f>
        <v>15.6</v>
      </c>
      <c r="I223" s="483">
        <f>FY!I235</f>
        <v>-1.6</v>
      </c>
      <c r="J223" s="483">
        <f>FY!J235</f>
        <v>3.057132768361583</v>
      </c>
      <c r="K223" s="483">
        <f>FY!K235</f>
        <v>7.6356786838395507</v>
      </c>
      <c r="L223" s="483">
        <f>FY!L235</f>
        <v>9.9356233980360518</v>
      </c>
      <c r="M223" s="483">
        <f>FY!M235</f>
        <v>12.238307122362878</v>
      </c>
      <c r="N223" s="483">
        <f>FY!N235</f>
        <v>14.57813090675949</v>
      </c>
      <c r="O223" s="483">
        <f>FY!O235</f>
        <v>17.034945880375936</v>
      </c>
      <c r="P223" s="483">
        <f>FY!P235</f>
        <v>19.614601602673201</v>
      </c>
      <c r="Q223" s="483">
        <f>FY!Q235</f>
        <v>22.323240111085333</v>
      </c>
      <c r="R223" s="1"/>
      <c r="S223" s="82" t="str">
        <f>_xll.BLUEMATRIX2("/servlet/excelData",E223,$B$1,$B223&amp;":"&amp;E$115&amp;":"&amp;$R$114)</f>
        <v>#</v>
      </c>
      <c r="T223" s="82" t="str">
        <f>_xll.BLUEMATRIX2("/servlet/excelData",F223,$B$1,$B223&amp;":"&amp;F$115&amp;":"&amp;$R$114)</f>
        <v>#</v>
      </c>
      <c r="U223" s="82" t="str">
        <f>_xll.BLUEMATRIX2("/servlet/excelData",G223,$B$1,$B223&amp;":"&amp;G$115&amp;":"&amp;$R$114)</f>
        <v>#</v>
      </c>
      <c r="V223" s="82" t="str">
        <f>_xll.BLUEMATRIX2("/servlet/excelData",H223,$B$1,$B223&amp;":"&amp;H$115&amp;":"&amp;$R$114)</f>
        <v>#</v>
      </c>
      <c r="W223" s="82" t="str">
        <f>_xll.BLUEMATRIX2("/servlet/excelData",I223,$B$1,$B223&amp;":"&amp;I$115&amp;":"&amp;$R$114)</f>
        <v>#</v>
      </c>
      <c r="X223" s="82" t="str">
        <f>_xll.BLUEMATRIX2("/servlet/excelData",J223,$B$1,$B223&amp;":"&amp;J$115&amp;":"&amp;$R$114)</f>
        <v>#</v>
      </c>
      <c r="Y223" s="82" t="str">
        <f>_xll.BLUEMATRIX2("/servlet/excelData",K223,$B$1,$B223&amp;":"&amp;K$115&amp;":"&amp;$R$114)</f>
        <v>#</v>
      </c>
      <c r="Z223" s="82" t="str">
        <f>_xll.BLUEMATRIX2("/servlet/excelData",L223,$B$1,$B223&amp;":"&amp;L$115&amp;":"&amp;$R$114)</f>
        <v>#</v>
      </c>
      <c r="AA223" s="82" t="str">
        <f>_xll.BLUEMATRIX2("/servlet/excelData",M223,$B$1,$B223&amp;":"&amp;M$115&amp;":"&amp;$R$114)</f>
        <v>#</v>
      </c>
      <c r="AB223" s="82" t="str">
        <f>_xll.BLUEMATRIX2("/servlet/excelData",N223,$B$1,$B223&amp;":"&amp;N$115&amp;":"&amp;$R$114)</f>
        <v>#</v>
      </c>
      <c r="AC223" s="82" t="str">
        <f>_xll.BLUEMATRIX2("/servlet/excelData",O223,$B$1,$B223&amp;":"&amp;O$115&amp;":"&amp;$R$114)</f>
        <v>#</v>
      </c>
      <c r="AD223" s="82" t="str">
        <f>_xll.BLUEMATRIX2("/servlet/excelData",P223,$B$1,$B223&amp;":"&amp;P$115&amp;":"&amp;$R$114)</f>
        <v>#</v>
      </c>
      <c r="AE223" s="82" t="str">
        <f>_xll.BLUEMATRIX2("/servlet/excelData",Q223,$B$1,$B223&amp;":"&amp;Q$115&amp;":"&amp;$R$114)</f>
        <v>#</v>
      </c>
    </row>
    <row r="224" spans="1:31" ht="12.95" customHeight="1" x14ac:dyDescent="0.2">
      <c r="A224" s="26" t="s">
        <v>834</v>
      </c>
      <c r="B224" s="29" t="s">
        <v>835</v>
      </c>
      <c r="C224" s="110" t="s">
        <v>836</v>
      </c>
      <c r="D224" s="111"/>
      <c r="E224" s="483">
        <f>FY!E236</f>
        <v>0</v>
      </c>
      <c r="F224" s="483">
        <f>FY!F236</f>
        <v>0</v>
      </c>
      <c r="G224" s="483">
        <f>FY!G236</f>
        <v>-71.599999999999994</v>
      </c>
      <c r="H224" s="483">
        <f>FY!H236</f>
        <v>-78.8</v>
      </c>
      <c r="I224" s="483">
        <f>FY!I236</f>
        <v>-119</v>
      </c>
      <c r="J224" s="483">
        <f>FY!J236</f>
        <v>-124.03782423439144</v>
      </c>
      <c r="K224" s="483">
        <f>FY!K236</f>
        <v>-123.0774048538003</v>
      </c>
      <c r="L224" s="483">
        <f>FY!L236</f>
        <v>-116.73644439763757</v>
      </c>
      <c r="M224" s="483">
        <f>FY!M236</f>
        <v>-108.32634045239294</v>
      </c>
      <c r="N224" s="483">
        <f>FY!N236</f>
        <v>-98.047043741817987</v>
      </c>
      <c r="O224" s="483">
        <f>FY!O236</f>
        <v>-86.721086795803942</v>
      </c>
      <c r="P224" s="483">
        <f>FY!P236</f>
        <v>-74.336274800134106</v>
      </c>
      <c r="Q224" s="483">
        <f>FY!Q236</f>
        <v>-60.881405114926565</v>
      </c>
      <c r="R224" s="1"/>
      <c r="S224" s="82" t="str">
        <f>_xll.BLUEMATRIX2("/servlet/excelData",E224,$B$1,$B224&amp;":"&amp;E$115&amp;":"&amp;$R$114)</f>
        <v>#</v>
      </c>
      <c r="T224" s="82" t="str">
        <f>_xll.BLUEMATRIX2("/servlet/excelData",F224,$B$1,$B224&amp;":"&amp;F$115&amp;":"&amp;$R$114)</f>
        <v>#</v>
      </c>
      <c r="U224" s="82" t="str">
        <f>_xll.BLUEMATRIX2("/servlet/excelData",G224,$B$1,$B224&amp;":"&amp;G$115&amp;":"&amp;$R$114)</f>
        <v>#</v>
      </c>
      <c r="V224" s="82" t="str">
        <f>_xll.BLUEMATRIX2("/servlet/excelData",H224,$B$1,$B224&amp;":"&amp;H$115&amp;":"&amp;$R$114)</f>
        <v>#</v>
      </c>
      <c r="W224" s="82" t="str">
        <f>_xll.BLUEMATRIX2("/servlet/excelData",I224,$B$1,$B224&amp;":"&amp;I$115&amp;":"&amp;$R$114)</f>
        <v>#</v>
      </c>
      <c r="X224" s="82" t="str">
        <f>_xll.BLUEMATRIX2("/servlet/excelData",J224,$B$1,$B224&amp;":"&amp;J$115&amp;":"&amp;$R$114)</f>
        <v>#</v>
      </c>
      <c r="Y224" s="82" t="str">
        <f>_xll.BLUEMATRIX2("/servlet/excelData",K224,$B$1,$B224&amp;":"&amp;K$115&amp;":"&amp;$R$114)</f>
        <v>#</v>
      </c>
      <c r="Z224" s="82" t="str">
        <f>_xll.BLUEMATRIX2("/servlet/excelData",L224,$B$1,$B224&amp;":"&amp;L$115&amp;":"&amp;$R$114)</f>
        <v>#</v>
      </c>
      <c r="AA224" s="82" t="str">
        <f>_xll.BLUEMATRIX2("/servlet/excelData",M224,$B$1,$B224&amp;":"&amp;M$115&amp;":"&amp;$R$114)</f>
        <v>#</v>
      </c>
      <c r="AB224" s="82" t="str">
        <f>_xll.BLUEMATRIX2("/servlet/excelData",N224,$B$1,$B224&amp;":"&amp;N$115&amp;":"&amp;$R$114)</f>
        <v>#</v>
      </c>
      <c r="AC224" s="82" t="str">
        <f>_xll.BLUEMATRIX2("/servlet/excelData",O224,$B$1,$B224&amp;":"&amp;O$115&amp;":"&amp;$R$114)</f>
        <v>#</v>
      </c>
      <c r="AD224" s="82" t="str">
        <f>_xll.BLUEMATRIX2("/servlet/excelData",P224,$B$1,$B224&amp;":"&amp;P$115&amp;":"&amp;$R$114)</f>
        <v>#</v>
      </c>
      <c r="AE224" s="82" t="str">
        <f>_xll.BLUEMATRIX2("/servlet/excelData",Q224,$B$1,$B224&amp;":"&amp;Q$115&amp;":"&amp;$R$114)</f>
        <v>#</v>
      </c>
    </row>
    <row r="225" spans="1:31" ht="12.95" customHeight="1" x14ac:dyDescent="0.2">
      <c r="A225" s="26" t="s">
        <v>837</v>
      </c>
      <c r="B225" s="29" t="s">
        <v>838</v>
      </c>
      <c r="C225" s="110" t="s">
        <v>839</v>
      </c>
      <c r="D225" s="111"/>
      <c r="E225" s="483"/>
      <c r="F225" s="483"/>
      <c r="G225" s="483"/>
      <c r="H225" s="483"/>
      <c r="I225" s="483"/>
      <c r="J225" s="483"/>
      <c r="K225" s="483"/>
      <c r="L225" s="483"/>
      <c r="M225" s="483"/>
      <c r="N225" s="483"/>
      <c r="O225" s="483"/>
      <c r="P225" s="483"/>
      <c r="Q225" s="483"/>
      <c r="R225" s="1"/>
      <c r="S225" s="82" t="str">
        <f>_xll.BLUEMATRIX2("/servlet/excelData",E225,$B$1,$B225&amp;":"&amp;E$115&amp;":"&amp;$R$114)</f>
        <v>#</v>
      </c>
      <c r="T225" s="82" t="str">
        <f>_xll.BLUEMATRIX2("/servlet/excelData",F225,$B$1,$B225&amp;":"&amp;F$115&amp;":"&amp;$R$114)</f>
        <v>#</v>
      </c>
      <c r="U225" s="82" t="str">
        <f>_xll.BLUEMATRIX2("/servlet/excelData",G225,$B$1,$B225&amp;":"&amp;G$115&amp;":"&amp;$R$114)</f>
        <v>#</v>
      </c>
      <c r="V225" s="82" t="str">
        <f>_xll.BLUEMATRIX2("/servlet/excelData",H225,$B$1,$B225&amp;":"&amp;H$115&amp;":"&amp;$R$114)</f>
        <v>#</v>
      </c>
      <c r="W225" s="82" t="str">
        <f>_xll.BLUEMATRIX2("/servlet/excelData",I225,$B$1,$B225&amp;":"&amp;I$115&amp;":"&amp;$R$114)</f>
        <v>#</v>
      </c>
      <c r="X225" s="82" t="str">
        <f>_xll.BLUEMATRIX2("/servlet/excelData",J225,$B$1,$B225&amp;":"&amp;J$115&amp;":"&amp;$R$114)</f>
        <v>#</v>
      </c>
      <c r="Y225" s="82" t="str">
        <f>_xll.BLUEMATRIX2("/servlet/excelData",K225,$B$1,$B225&amp;":"&amp;K$115&amp;":"&amp;$R$114)</f>
        <v>#</v>
      </c>
      <c r="Z225" s="82" t="str">
        <f>_xll.BLUEMATRIX2("/servlet/excelData",L225,$B$1,$B225&amp;":"&amp;L$115&amp;":"&amp;$R$114)</f>
        <v>#</v>
      </c>
      <c r="AA225" s="82" t="str">
        <f>_xll.BLUEMATRIX2("/servlet/excelData",M225,$B$1,$B225&amp;":"&amp;M$115&amp;":"&amp;$R$114)</f>
        <v>#</v>
      </c>
      <c r="AB225" s="82" t="str">
        <f>_xll.BLUEMATRIX2("/servlet/excelData",N225,$B$1,$B225&amp;":"&amp;N$115&amp;":"&amp;$R$114)</f>
        <v>#</v>
      </c>
      <c r="AC225" s="82" t="str">
        <f>_xll.BLUEMATRIX2("/servlet/excelData",O225,$B$1,$B225&amp;":"&amp;O$115&amp;":"&amp;$R$114)</f>
        <v>#</v>
      </c>
      <c r="AD225" s="82" t="str">
        <f>_xll.BLUEMATRIX2("/servlet/excelData",P225,$B$1,$B225&amp;":"&amp;P$115&amp;":"&amp;$R$114)</f>
        <v>#</v>
      </c>
      <c r="AE225" s="82" t="str">
        <f>_xll.BLUEMATRIX2("/servlet/excelData",Q225,$B$1,$B225&amp;":"&amp;Q$115&amp;":"&amp;$R$114)</f>
        <v>#</v>
      </c>
    </row>
    <row r="226" spans="1:31" ht="12.95" customHeight="1" x14ac:dyDescent="0.2">
      <c r="A226" s="26" t="s">
        <v>840</v>
      </c>
      <c r="B226" s="29" t="s">
        <v>841</v>
      </c>
      <c r="C226" s="135" t="s">
        <v>842</v>
      </c>
      <c r="D226" s="114"/>
      <c r="E226" s="114">
        <f t="shared" ref="E226:Q226" si="27">E222+E223+E224+E225</f>
        <v>0</v>
      </c>
      <c r="F226" s="114">
        <f t="shared" si="27"/>
        <v>0</v>
      </c>
      <c r="G226" s="114">
        <f t="shared" si="27"/>
        <v>3.2999999999999972</v>
      </c>
      <c r="H226" s="114">
        <f t="shared" si="27"/>
        <v>198.2</v>
      </c>
      <c r="I226" s="114">
        <f t="shared" si="27"/>
        <v>133.20000000000002</v>
      </c>
      <c r="J226" s="114">
        <f t="shared" si="27"/>
        <v>132.81930853397012</v>
      </c>
      <c r="K226" s="114">
        <f t="shared" si="27"/>
        <v>138.35827383003925</v>
      </c>
      <c r="L226" s="114">
        <f t="shared" si="27"/>
        <v>146.9991790003985</v>
      </c>
      <c r="M226" s="114">
        <f t="shared" si="27"/>
        <v>157.71196666996994</v>
      </c>
      <c r="N226" s="114">
        <f t="shared" si="27"/>
        <v>170.33108716494152</v>
      </c>
      <c r="O226" s="114">
        <f t="shared" si="27"/>
        <v>184.11385908457197</v>
      </c>
      <c r="P226" s="114">
        <f t="shared" si="27"/>
        <v>199.0783268025391</v>
      </c>
      <c r="Q226" s="114">
        <f t="shared" si="27"/>
        <v>215.24183499615879</v>
      </c>
      <c r="R226" s="1"/>
      <c r="S226" s="82" t="str">
        <f>_xll.BLUEMATRIX2("/servlet/excelData",E226,$B$1,$B226&amp;":"&amp;E$115&amp;":"&amp;$R$114)</f>
        <v>#</v>
      </c>
      <c r="T226" s="82" t="str">
        <f>_xll.BLUEMATRIX2("/servlet/excelData",F226,$B$1,$B226&amp;":"&amp;F$115&amp;":"&amp;$R$114)</f>
        <v>#</v>
      </c>
      <c r="U226" s="82" t="str">
        <f>_xll.BLUEMATRIX2("/servlet/excelData",G226,$B$1,$B226&amp;":"&amp;G$115&amp;":"&amp;$R$114)</f>
        <v>#</v>
      </c>
      <c r="V226" s="82" t="str">
        <f>_xll.BLUEMATRIX2("/servlet/excelData",H226,$B$1,$B226&amp;":"&amp;H$115&amp;":"&amp;$R$114)</f>
        <v>#</v>
      </c>
      <c r="W226" s="82" t="str">
        <f>_xll.BLUEMATRIX2("/servlet/excelData",I226,$B$1,$B226&amp;":"&amp;I$115&amp;":"&amp;$R$114)</f>
        <v>#</v>
      </c>
      <c r="X226" s="82" t="str">
        <f>_xll.BLUEMATRIX2("/servlet/excelData",J226,$B$1,$B226&amp;":"&amp;J$115&amp;":"&amp;$R$114)</f>
        <v>#</v>
      </c>
      <c r="Y226" s="82" t="str">
        <f>_xll.BLUEMATRIX2("/servlet/excelData",K226,$B$1,$B226&amp;":"&amp;K$115&amp;":"&amp;$R$114)</f>
        <v>#</v>
      </c>
      <c r="Z226" s="82" t="str">
        <f>_xll.BLUEMATRIX2("/servlet/excelData",L226,$B$1,$B226&amp;":"&amp;L$115&amp;":"&amp;$R$114)</f>
        <v>#</v>
      </c>
      <c r="AA226" s="82" t="str">
        <f>_xll.BLUEMATRIX2("/servlet/excelData",M226,$B$1,$B226&amp;":"&amp;M$115&amp;":"&amp;$R$114)</f>
        <v>#</v>
      </c>
      <c r="AB226" s="82" t="str">
        <f>_xll.BLUEMATRIX2("/servlet/excelData",N226,$B$1,$B226&amp;":"&amp;N$115&amp;":"&amp;$R$114)</f>
        <v>#</v>
      </c>
      <c r="AC226" s="82" t="str">
        <f>_xll.BLUEMATRIX2("/servlet/excelData",O226,$B$1,$B226&amp;":"&amp;O$115&amp;":"&amp;$R$114)</f>
        <v>#</v>
      </c>
      <c r="AD226" s="82" t="str">
        <f>_xll.BLUEMATRIX2("/servlet/excelData",P226,$B$1,$B226&amp;":"&amp;P$115&amp;":"&amp;$R$114)</f>
        <v>#</v>
      </c>
      <c r="AE226" s="82" t="str">
        <f>_xll.BLUEMATRIX2("/servlet/excelData",Q226,$B$1,$B226&amp;":"&amp;Q$115&amp;":"&amp;$R$114)</f>
        <v>#</v>
      </c>
    </row>
    <row r="227" spans="1:31" ht="12.95" customHeight="1" x14ac:dyDescent="0.2">
      <c r="A227" s="26" t="s">
        <v>843</v>
      </c>
      <c r="B227" s="29" t="s">
        <v>844</v>
      </c>
      <c r="C227" s="110" t="s">
        <v>845</v>
      </c>
      <c r="D227" s="111"/>
      <c r="E227" s="483">
        <f>FY!E237</f>
        <v>0</v>
      </c>
      <c r="F227" s="483">
        <f>FY!F237</f>
        <v>0</v>
      </c>
      <c r="G227" s="483">
        <f>FY!G237</f>
        <v>0</v>
      </c>
      <c r="H227" s="483">
        <f>FY!H237</f>
        <v>0</v>
      </c>
      <c r="I227" s="483">
        <f>FY!I237</f>
        <v>0</v>
      </c>
      <c r="J227" s="483">
        <f>FY!J237</f>
        <v>0</v>
      </c>
      <c r="K227" s="483">
        <f>FY!K237</f>
        <v>0</v>
      </c>
      <c r="L227" s="483">
        <f>FY!L237</f>
        <v>0</v>
      </c>
      <c r="M227" s="483">
        <f>FY!M237</f>
        <v>0</v>
      </c>
      <c r="N227" s="483">
        <f>FY!N237</f>
        <v>0</v>
      </c>
      <c r="O227" s="483">
        <f>FY!O237</f>
        <v>0</v>
      </c>
      <c r="P227" s="483">
        <f>FY!P237</f>
        <v>0</v>
      </c>
      <c r="Q227" s="483">
        <f>FY!Q237</f>
        <v>0</v>
      </c>
      <c r="R227" s="1"/>
      <c r="S227" s="82" t="str">
        <f>_xll.BLUEMATRIX2("/servlet/excelData",E227,$B$1,$B227&amp;":"&amp;E$115&amp;":"&amp;$R$114)</f>
        <v>#</v>
      </c>
      <c r="T227" s="82" t="str">
        <f>_xll.BLUEMATRIX2("/servlet/excelData",F227,$B$1,$B227&amp;":"&amp;F$115&amp;":"&amp;$R$114)</f>
        <v>#</v>
      </c>
      <c r="U227" s="82" t="str">
        <f>_xll.BLUEMATRIX2("/servlet/excelData",G227,$B$1,$B227&amp;":"&amp;G$115&amp;":"&amp;$R$114)</f>
        <v>#</v>
      </c>
      <c r="V227" s="82" t="str">
        <f>_xll.BLUEMATRIX2("/servlet/excelData",H227,$B$1,$B227&amp;":"&amp;H$115&amp;":"&amp;$R$114)</f>
        <v>#</v>
      </c>
      <c r="W227" s="82" t="str">
        <f>_xll.BLUEMATRIX2("/servlet/excelData",I227,$B$1,$B227&amp;":"&amp;I$115&amp;":"&amp;$R$114)</f>
        <v>#</v>
      </c>
      <c r="X227" s="82" t="str">
        <f>_xll.BLUEMATRIX2("/servlet/excelData",J227,$B$1,$B227&amp;":"&amp;J$115&amp;":"&amp;$R$114)</f>
        <v>#</v>
      </c>
      <c r="Y227" s="82" t="str">
        <f>_xll.BLUEMATRIX2("/servlet/excelData",K227,$B$1,$B227&amp;":"&amp;K$115&amp;":"&amp;$R$114)</f>
        <v>#</v>
      </c>
      <c r="Z227" s="82" t="str">
        <f>_xll.BLUEMATRIX2("/servlet/excelData",L227,$B$1,$B227&amp;":"&amp;L$115&amp;":"&amp;$R$114)</f>
        <v>#</v>
      </c>
      <c r="AA227" s="82" t="str">
        <f>_xll.BLUEMATRIX2("/servlet/excelData",M227,$B$1,$B227&amp;":"&amp;M$115&amp;":"&amp;$R$114)</f>
        <v>#</v>
      </c>
      <c r="AB227" s="82" t="str">
        <f>_xll.BLUEMATRIX2("/servlet/excelData",N227,$B$1,$B227&amp;":"&amp;N$115&amp;":"&amp;$R$114)</f>
        <v>#</v>
      </c>
      <c r="AC227" s="82" t="str">
        <f>_xll.BLUEMATRIX2("/servlet/excelData",O227,$B$1,$B227&amp;":"&amp;O$115&amp;":"&amp;$R$114)</f>
        <v>#</v>
      </c>
      <c r="AD227" s="82" t="str">
        <f>_xll.BLUEMATRIX2("/servlet/excelData",P227,$B$1,$B227&amp;":"&amp;P$115&amp;":"&amp;$R$114)</f>
        <v>#</v>
      </c>
      <c r="AE227" s="82" t="str">
        <f>_xll.BLUEMATRIX2("/servlet/excelData",Q227,$B$1,$B227&amp;":"&amp;Q$115&amp;":"&amp;$R$114)</f>
        <v>#</v>
      </c>
    </row>
    <row r="228" spans="1:31" ht="12.95" customHeight="1" x14ac:dyDescent="0.2">
      <c r="A228" s="26" t="s">
        <v>846</v>
      </c>
      <c r="B228" s="29" t="s">
        <v>847</v>
      </c>
      <c r="C228" s="135" t="s">
        <v>848</v>
      </c>
      <c r="D228" s="114"/>
      <c r="E228" s="114">
        <f t="shared" ref="E228:Q228" si="28">E226+E227</f>
        <v>0</v>
      </c>
      <c r="F228" s="114">
        <f t="shared" si="28"/>
        <v>0</v>
      </c>
      <c r="G228" s="114">
        <f t="shared" si="28"/>
        <v>3.2999999999999972</v>
      </c>
      <c r="H228" s="114">
        <f t="shared" si="28"/>
        <v>198.2</v>
      </c>
      <c r="I228" s="114">
        <f t="shared" si="28"/>
        <v>133.20000000000002</v>
      </c>
      <c r="J228" s="114">
        <f t="shared" si="28"/>
        <v>132.81930853397012</v>
      </c>
      <c r="K228" s="114">
        <f t="shared" si="28"/>
        <v>138.35827383003925</v>
      </c>
      <c r="L228" s="114">
        <f t="shared" si="28"/>
        <v>146.9991790003985</v>
      </c>
      <c r="M228" s="114">
        <f t="shared" si="28"/>
        <v>157.71196666996994</v>
      </c>
      <c r="N228" s="114">
        <f t="shared" si="28"/>
        <v>170.33108716494152</v>
      </c>
      <c r="O228" s="114">
        <f t="shared" si="28"/>
        <v>184.11385908457197</v>
      </c>
      <c r="P228" s="114">
        <f t="shared" si="28"/>
        <v>199.0783268025391</v>
      </c>
      <c r="Q228" s="114">
        <f t="shared" si="28"/>
        <v>215.24183499615879</v>
      </c>
      <c r="R228" s="1"/>
      <c r="S228" s="82" t="str">
        <f>_xll.BLUEMATRIX2("/servlet/excelData",E228,$B$1,$B228&amp;":"&amp;E$115&amp;":"&amp;$R$114)</f>
        <v>#</v>
      </c>
      <c r="T228" s="82" t="str">
        <f>_xll.BLUEMATRIX2("/servlet/excelData",F228,$B$1,$B228&amp;":"&amp;F$115&amp;":"&amp;$R$114)</f>
        <v>#</v>
      </c>
      <c r="U228" s="82" t="str">
        <f>_xll.BLUEMATRIX2("/servlet/excelData",G228,$B$1,$B228&amp;":"&amp;G$115&amp;":"&amp;$R$114)</f>
        <v>#</v>
      </c>
      <c r="V228" s="82" t="str">
        <f>_xll.BLUEMATRIX2("/servlet/excelData",H228,$B$1,$B228&amp;":"&amp;H$115&amp;":"&amp;$R$114)</f>
        <v>#</v>
      </c>
      <c r="W228" s="82" t="str">
        <f>_xll.BLUEMATRIX2("/servlet/excelData",I228,$B$1,$B228&amp;":"&amp;I$115&amp;":"&amp;$R$114)</f>
        <v>#</v>
      </c>
      <c r="X228" s="82" t="str">
        <f>_xll.BLUEMATRIX2("/servlet/excelData",J228,$B$1,$B228&amp;":"&amp;J$115&amp;":"&amp;$R$114)</f>
        <v>#</v>
      </c>
      <c r="Y228" s="82" t="str">
        <f>_xll.BLUEMATRIX2("/servlet/excelData",K228,$B$1,$B228&amp;":"&amp;K$115&amp;":"&amp;$R$114)</f>
        <v>#</v>
      </c>
      <c r="Z228" s="82" t="str">
        <f>_xll.BLUEMATRIX2("/servlet/excelData",L228,$B$1,$B228&amp;":"&amp;L$115&amp;":"&amp;$R$114)</f>
        <v>#</v>
      </c>
      <c r="AA228" s="82" t="str">
        <f>_xll.BLUEMATRIX2("/servlet/excelData",M228,$B$1,$B228&amp;":"&amp;M$115&amp;":"&amp;$R$114)</f>
        <v>#</v>
      </c>
      <c r="AB228" s="82" t="str">
        <f>_xll.BLUEMATRIX2("/servlet/excelData",N228,$B$1,$B228&amp;":"&amp;N$115&amp;":"&amp;$R$114)</f>
        <v>#</v>
      </c>
      <c r="AC228" s="82" t="str">
        <f>_xll.BLUEMATRIX2("/servlet/excelData",O228,$B$1,$B228&amp;":"&amp;O$115&amp;":"&amp;$R$114)</f>
        <v>#</v>
      </c>
      <c r="AD228" s="82" t="str">
        <f>_xll.BLUEMATRIX2("/servlet/excelData",P228,$B$1,$B228&amp;":"&amp;P$115&amp;":"&amp;$R$114)</f>
        <v>#</v>
      </c>
      <c r="AE228" s="82" t="str">
        <f>_xll.BLUEMATRIX2("/servlet/excelData",Q228,$B$1,$B228&amp;":"&amp;Q$115&amp;":"&amp;$R$114)</f>
        <v>#</v>
      </c>
    </row>
    <row r="229" spans="1:31" s="142" customFormat="1" ht="12.95" customHeight="1" x14ac:dyDescent="0.2">
      <c r="A229" s="140"/>
      <c r="B229" s="29"/>
      <c r="C229" s="121" t="s">
        <v>849</v>
      </c>
      <c r="D229" s="122"/>
      <c r="E229" s="487">
        <f t="shared" ref="E229:Q229" si="29">E197-(E218+E228)</f>
        <v>0</v>
      </c>
      <c r="F229" s="487">
        <f t="shared" si="29"/>
        <v>0</v>
      </c>
      <c r="G229" s="487">
        <f t="shared" si="29"/>
        <v>0</v>
      </c>
      <c r="H229" s="487">
        <f t="shared" si="29"/>
        <v>0</v>
      </c>
      <c r="I229" s="487">
        <f t="shared" si="29"/>
        <v>0</v>
      </c>
      <c r="J229" s="487">
        <f t="shared" si="29"/>
        <v>0</v>
      </c>
      <c r="K229" s="487">
        <f t="shared" si="29"/>
        <v>0</v>
      </c>
      <c r="L229" s="487">
        <f t="shared" si="29"/>
        <v>0</v>
      </c>
      <c r="M229" s="487">
        <f t="shared" si="29"/>
        <v>0</v>
      </c>
      <c r="N229" s="487">
        <f t="shared" si="29"/>
        <v>0</v>
      </c>
      <c r="O229" s="487">
        <f t="shared" si="29"/>
        <v>0</v>
      </c>
      <c r="P229" s="487">
        <f t="shared" si="29"/>
        <v>0</v>
      </c>
      <c r="Q229" s="487">
        <f t="shared" si="29"/>
        <v>0</v>
      </c>
      <c r="R229" s="141"/>
      <c r="S229" s="82"/>
      <c r="T229" s="82"/>
      <c r="U229" s="82"/>
      <c r="V229" s="82"/>
      <c r="W229" s="82"/>
      <c r="X229" s="82"/>
      <c r="Y229" s="82"/>
      <c r="Z229" s="82"/>
      <c r="AA229" s="82"/>
      <c r="AB229" s="82"/>
      <c r="AC229" s="82"/>
      <c r="AD229" s="82"/>
      <c r="AE229" s="82"/>
    </row>
    <row r="230" spans="1:31" ht="12.95" customHeight="1" x14ac:dyDescent="0.2">
      <c r="A230" s="26"/>
      <c r="B230" s="29"/>
      <c r="C230" s="143"/>
      <c r="D230" s="144"/>
      <c r="E230" s="144"/>
      <c r="F230" s="144"/>
      <c r="G230" s="144"/>
      <c r="H230" s="144"/>
      <c r="I230" s="144"/>
      <c r="J230" s="144"/>
      <c r="K230" s="144"/>
      <c r="L230" s="144"/>
      <c r="M230" s="144"/>
      <c r="N230" s="144"/>
      <c r="O230" s="144"/>
      <c r="P230" s="144"/>
      <c r="Q230" s="144"/>
      <c r="R230" s="1"/>
      <c r="S230" s="82"/>
      <c r="T230" s="82"/>
      <c r="U230" s="82"/>
      <c r="V230" s="82"/>
      <c r="W230" s="82"/>
      <c r="X230" s="82"/>
      <c r="Y230" s="82"/>
      <c r="Z230" s="82"/>
      <c r="AA230" s="82"/>
      <c r="AB230" s="82"/>
      <c r="AC230" s="82"/>
      <c r="AD230" s="82"/>
      <c r="AE230" s="82"/>
    </row>
    <row r="231" spans="1:31" ht="12.95" customHeight="1" x14ac:dyDescent="0.2">
      <c r="A231" s="26" t="s">
        <v>850</v>
      </c>
      <c r="B231" s="29" t="s">
        <v>851</v>
      </c>
      <c r="C231" s="130" t="s">
        <v>852</v>
      </c>
      <c r="D231" s="145"/>
      <c r="E231" s="145">
        <f t="shared" ref="E231:Q231" si="30">E197-E218</f>
        <v>0</v>
      </c>
      <c r="F231" s="145">
        <f t="shared" si="30"/>
        <v>0</v>
      </c>
      <c r="G231" s="145">
        <f t="shared" si="30"/>
        <v>3.2999999999999972</v>
      </c>
      <c r="H231" s="145">
        <f t="shared" si="30"/>
        <v>198.2</v>
      </c>
      <c r="I231" s="145">
        <f t="shared" si="30"/>
        <v>133.19999999999999</v>
      </c>
      <c r="J231" s="145">
        <f t="shared" si="30"/>
        <v>132.81930853397014</v>
      </c>
      <c r="K231" s="145">
        <f t="shared" si="30"/>
        <v>138.35827383003925</v>
      </c>
      <c r="L231" s="145">
        <f t="shared" si="30"/>
        <v>146.99917900039844</v>
      </c>
      <c r="M231" s="145">
        <f t="shared" si="30"/>
        <v>157.71196666996991</v>
      </c>
      <c r="N231" s="145">
        <f t="shared" si="30"/>
        <v>170.33108716494152</v>
      </c>
      <c r="O231" s="145">
        <f t="shared" si="30"/>
        <v>184.11385908457197</v>
      </c>
      <c r="P231" s="145">
        <f t="shared" si="30"/>
        <v>199.0783268025391</v>
      </c>
      <c r="Q231" s="145">
        <f t="shared" si="30"/>
        <v>215.24183499615881</v>
      </c>
      <c r="R231" s="1"/>
      <c r="S231" s="82" t="str">
        <f>_xll.BLUEMATRIX2("/servlet/excelData",E231,$B$1,$B231&amp;":"&amp;E$115&amp;":"&amp;$R$114)</f>
        <v>#</v>
      </c>
      <c r="T231" s="82" t="str">
        <f>_xll.BLUEMATRIX2("/servlet/excelData",F231,$B$1,$B231&amp;":"&amp;F$115&amp;":"&amp;$R$114)</f>
        <v>#</v>
      </c>
      <c r="U231" s="82" t="str">
        <f>_xll.BLUEMATRIX2("/servlet/excelData",G231,$B$1,$B231&amp;":"&amp;G$115&amp;":"&amp;$R$114)</f>
        <v>#</v>
      </c>
      <c r="V231" s="82" t="str">
        <f>_xll.BLUEMATRIX2("/servlet/excelData",H231,$B$1,$B231&amp;":"&amp;H$115&amp;":"&amp;$R$114)</f>
        <v>#</v>
      </c>
      <c r="W231" s="82" t="str">
        <f>_xll.BLUEMATRIX2("/servlet/excelData",I231,$B$1,$B231&amp;":"&amp;I$115&amp;":"&amp;$R$114)</f>
        <v>#</v>
      </c>
      <c r="X231" s="82" t="str">
        <f>_xll.BLUEMATRIX2("/servlet/excelData",J231,$B$1,$B231&amp;":"&amp;J$115&amp;":"&amp;$R$114)</f>
        <v>#</v>
      </c>
      <c r="Y231" s="82" t="str">
        <f>_xll.BLUEMATRIX2("/servlet/excelData",K231,$B$1,$B231&amp;":"&amp;K$115&amp;":"&amp;$R$114)</f>
        <v>#</v>
      </c>
      <c r="Z231" s="82" t="str">
        <f>_xll.BLUEMATRIX2("/servlet/excelData",L231,$B$1,$B231&amp;":"&amp;L$115&amp;":"&amp;$R$114)</f>
        <v>#</v>
      </c>
      <c r="AA231" s="82" t="str">
        <f>_xll.BLUEMATRIX2("/servlet/excelData",M231,$B$1,$B231&amp;":"&amp;M$115&amp;":"&amp;$R$114)</f>
        <v>#</v>
      </c>
      <c r="AB231" s="82" t="str">
        <f>_xll.BLUEMATRIX2("/servlet/excelData",N231,$B$1,$B231&amp;":"&amp;N$115&amp;":"&amp;$R$114)</f>
        <v>#</v>
      </c>
      <c r="AC231" s="82" t="str">
        <f>_xll.BLUEMATRIX2("/servlet/excelData",O231,$B$1,$B231&amp;":"&amp;O$115&amp;":"&amp;$R$114)</f>
        <v>#</v>
      </c>
      <c r="AD231" s="82" t="str">
        <f>_xll.BLUEMATRIX2("/servlet/excelData",P231,$B$1,$B231&amp;":"&amp;P$115&amp;":"&amp;$R$114)</f>
        <v>#</v>
      </c>
      <c r="AE231" s="82" t="str">
        <f>_xll.BLUEMATRIX2("/servlet/excelData",Q231,$B$1,$B231&amp;":"&amp;Q$115&amp;":"&amp;$R$114)</f>
        <v>#</v>
      </c>
    </row>
    <row r="232" spans="1:31" ht="12.95" customHeight="1" x14ac:dyDescent="0.2">
      <c r="A232" s="26" t="s">
        <v>853</v>
      </c>
      <c r="B232" s="29" t="s">
        <v>854</v>
      </c>
      <c r="C232" s="130" t="s">
        <v>855</v>
      </c>
      <c r="D232" s="145"/>
      <c r="E232" s="145">
        <f t="shared" ref="E232:Q232" si="31">E209+E204-E182</f>
        <v>0</v>
      </c>
      <c r="F232" s="145">
        <f t="shared" si="31"/>
        <v>0</v>
      </c>
      <c r="G232" s="145">
        <f t="shared" si="31"/>
        <v>-24.4</v>
      </c>
      <c r="H232" s="145">
        <f t="shared" si="31"/>
        <v>-71.600000000000009</v>
      </c>
      <c r="I232" s="145">
        <f t="shared" si="31"/>
        <v>6.1999999999999957</v>
      </c>
      <c r="J232" s="145">
        <f t="shared" si="31"/>
        <v>4.4614307704091196</v>
      </c>
      <c r="K232" s="145">
        <f t="shared" si="31"/>
        <v>-2.0350705166349456</v>
      </c>
      <c r="L232" s="145">
        <f t="shared" si="31"/>
        <v>-11.275051409491255</v>
      </c>
      <c r="M232" s="145">
        <f t="shared" si="31"/>
        <v>-23.229758684486306</v>
      </c>
      <c r="N232" s="145">
        <f t="shared" si="31"/>
        <v>-36.704095236106582</v>
      </c>
      <c r="O232" s="145">
        <f t="shared" si="31"/>
        <v>-51.028307149279442</v>
      </c>
      <c r="P232" s="145">
        <f t="shared" si="31"/>
        <v>-66.278045616778371</v>
      </c>
      <c r="Q232" s="145">
        <f t="shared" si="31"/>
        <v>-82.516074614117727</v>
      </c>
      <c r="R232" s="1"/>
      <c r="S232" s="82" t="str">
        <f>_xll.BLUEMATRIX2("/servlet/excelData",E232,$B$1,$B232&amp;":"&amp;E$115&amp;":"&amp;$R$114)</f>
        <v>#</v>
      </c>
      <c r="T232" s="82" t="str">
        <f>_xll.BLUEMATRIX2("/servlet/excelData",F232,$B$1,$B232&amp;":"&amp;F$115&amp;":"&amp;$R$114)</f>
        <v>#</v>
      </c>
      <c r="U232" s="82" t="str">
        <f>_xll.BLUEMATRIX2("/servlet/excelData",G232,$B$1,$B232&amp;":"&amp;G$115&amp;":"&amp;$R$114)</f>
        <v>#</v>
      </c>
      <c r="V232" s="82" t="str">
        <f>_xll.BLUEMATRIX2("/servlet/excelData",H232,$B$1,$B232&amp;":"&amp;H$115&amp;":"&amp;$R$114)</f>
        <v>#</v>
      </c>
      <c r="W232" s="82" t="str">
        <f>_xll.BLUEMATRIX2("/servlet/excelData",I232,$B$1,$B232&amp;":"&amp;I$115&amp;":"&amp;$R$114)</f>
        <v>#</v>
      </c>
      <c r="X232" s="82" t="str">
        <f>_xll.BLUEMATRIX2("/servlet/excelData",J232,$B$1,$B232&amp;":"&amp;J$115&amp;":"&amp;$R$114)</f>
        <v>#</v>
      </c>
      <c r="Y232" s="82" t="str">
        <f>_xll.BLUEMATRIX2("/servlet/excelData",K232,$B$1,$B232&amp;":"&amp;K$115&amp;":"&amp;$R$114)</f>
        <v>#</v>
      </c>
      <c r="Z232" s="82" t="str">
        <f>_xll.BLUEMATRIX2("/servlet/excelData",L232,$B$1,$B232&amp;":"&amp;L$115&amp;":"&amp;$R$114)</f>
        <v>#</v>
      </c>
      <c r="AA232" s="82" t="str">
        <f>_xll.BLUEMATRIX2("/servlet/excelData",M232,$B$1,$B232&amp;":"&amp;M$115&amp;":"&amp;$R$114)</f>
        <v>#</v>
      </c>
      <c r="AB232" s="82" t="str">
        <f>_xll.BLUEMATRIX2("/servlet/excelData",N232,$B$1,$B232&amp;":"&amp;N$115&amp;":"&amp;$R$114)</f>
        <v>#</v>
      </c>
      <c r="AC232" s="82" t="str">
        <f>_xll.BLUEMATRIX2("/servlet/excelData",O232,$B$1,$B232&amp;":"&amp;O$115&amp;":"&amp;$R$114)</f>
        <v>#</v>
      </c>
      <c r="AD232" s="82" t="str">
        <f>_xll.BLUEMATRIX2("/servlet/excelData",P232,$B$1,$B232&amp;":"&amp;P$115&amp;":"&amp;$R$114)</f>
        <v>#</v>
      </c>
      <c r="AE232" s="82" t="str">
        <f>_xll.BLUEMATRIX2("/servlet/excelData",Q232,$B$1,$B232&amp;":"&amp;Q$115&amp;":"&amp;$R$114)</f>
        <v>#</v>
      </c>
    </row>
    <row r="233" spans="1:31" ht="12.95" customHeight="1" x14ac:dyDescent="0.2">
      <c r="A233" s="26" t="s">
        <v>856</v>
      </c>
      <c r="B233" s="29" t="s">
        <v>857</v>
      </c>
      <c r="C233" s="130" t="s">
        <v>858</v>
      </c>
      <c r="D233" s="145"/>
      <c r="E233" s="145">
        <f t="shared" ref="E233:Q233" si="32">E228-E192-E193</f>
        <v>0</v>
      </c>
      <c r="F233" s="145">
        <f t="shared" si="32"/>
        <v>0</v>
      </c>
      <c r="G233" s="145">
        <f t="shared" si="32"/>
        <v>0.19999999999999707</v>
      </c>
      <c r="H233" s="145">
        <f t="shared" si="32"/>
        <v>108.60000000000001</v>
      </c>
      <c r="I233" s="145">
        <f t="shared" si="32"/>
        <v>46.200000000000017</v>
      </c>
      <c r="J233" s="145">
        <f t="shared" si="32"/>
        <v>45.967368245633622</v>
      </c>
      <c r="K233" s="145">
        <f t="shared" si="32"/>
        <v>51.150309483479866</v>
      </c>
      <c r="L233" s="145">
        <f t="shared" si="32"/>
        <v>59.011052324678431</v>
      </c>
      <c r="M233" s="145">
        <f t="shared" si="32"/>
        <v>69.517559645432812</v>
      </c>
      <c r="N233" s="145">
        <f t="shared" si="32"/>
        <v>81.471286245100401</v>
      </c>
      <c r="O233" s="145">
        <f t="shared" si="32"/>
        <v>94.198857708722926</v>
      </c>
      <c r="P233" s="145">
        <f t="shared" si="32"/>
        <v>107.77212370419406</v>
      </c>
      <c r="Q233" s="145">
        <f t="shared" si="32"/>
        <v>122.2498566059042</v>
      </c>
      <c r="R233" s="1"/>
      <c r="S233" s="82" t="str">
        <f>_xll.BLUEMATRIX2("/servlet/excelData",E233,$B$1,$B233&amp;":"&amp;E$115&amp;":"&amp;$R$114)</f>
        <v>#</v>
      </c>
      <c r="T233" s="82" t="str">
        <f>_xll.BLUEMATRIX2("/servlet/excelData",F233,$B$1,$B233&amp;":"&amp;F$115&amp;":"&amp;$R$114)</f>
        <v>#</v>
      </c>
      <c r="U233" s="82" t="str">
        <f>_xll.BLUEMATRIX2("/servlet/excelData",G233,$B$1,$B233&amp;":"&amp;G$115&amp;":"&amp;$R$114)</f>
        <v>#</v>
      </c>
      <c r="V233" s="82" t="str">
        <f>_xll.BLUEMATRIX2("/servlet/excelData",H233,$B$1,$B233&amp;":"&amp;H$115&amp;":"&amp;$R$114)</f>
        <v>#</v>
      </c>
      <c r="W233" s="82" t="str">
        <f>_xll.BLUEMATRIX2("/servlet/excelData",I233,$B$1,$B233&amp;":"&amp;I$115&amp;":"&amp;$R$114)</f>
        <v>#</v>
      </c>
      <c r="X233" s="82" t="str">
        <f>_xll.BLUEMATRIX2("/servlet/excelData",J233,$B$1,$B233&amp;":"&amp;J$115&amp;":"&amp;$R$114)</f>
        <v>#</v>
      </c>
      <c r="Y233" s="82" t="str">
        <f>_xll.BLUEMATRIX2("/servlet/excelData",K233,$B$1,$B233&amp;":"&amp;K$115&amp;":"&amp;$R$114)</f>
        <v>#</v>
      </c>
      <c r="Z233" s="82" t="str">
        <f>_xll.BLUEMATRIX2("/servlet/excelData",L233,$B$1,$B233&amp;":"&amp;L$115&amp;":"&amp;$R$114)</f>
        <v>#</v>
      </c>
      <c r="AA233" s="82" t="str">
        <f>_xll.BLUEMATRIX2("/servlet/excelData",M233,$B$1,$B233&amp;":"&amp;M$115&amp;":"&amp;$R$114)</f>
        <v>#</v>
      </c>
      <c r="AB233" s="82" t="str">
        <f>_xll.BLUEMATRIX2("/servlet/excelData",N233,$B$1,$B233&amp;":"&amp;N$115&amp;":"&amp;$R$114)</f>
        <v>#</v>
      </c>
      <c r="AC233" s="82" t="str">
        <f>_xll.BLUEMATRIX2("/servlet/excelData",O233,$B$1,$B233&amp;":"&amp;O$115&amp;":"&amp;$R$114)</f>
        <v>#</v>
      </c>
      <c r="AD233" s="82" t="str">
        <f>_xll.BLUEMATRIX2("/servlet/excelData",P233,$B$1,$B233&amp;":"&amp;P$115&amp;":"&amp;$R$114)</f>
        <v>#</v>
      </c>
      <c r="AE233" s="82" t="str">
        <f>_xll.BLUEMATRIX2("/servlet/excelData",Q233,$B$1,$B233&amp;":"&amp;Q$115&amp;":"&amp;$R$114)</f>
        <v>#</v>
      </c>
    </row>
    <row r="234" spans="1:31" ht="12.95" customHeight="1" x14ac:dyDescent="0.2">
      <c r="A234" s="26" t="s">
        <v>859</v>
      </c>
      <c r="B234" s="29" t="s">
        <v>860</v>
      </c>
      <c r="C234" s="130" t="s">
        <v>861</v>
      </c>
      <c r="D234" s="145"/>
      <c r="E234" s="145">
        <f t="shared" ref="E234:Q234" si="33">E228</f>
        <v>0</v>
      </c>
      <c r="F234" s="145">
        <f t="shared" si="33"/>
        <v>0</v>
      </c>
      <c r="G234" s="145">
        <f t="shared" si="33"/>
        <v>3.2999999999999972</v>
      </c>
      <c r="H234" s="145">
        <f t="shared" si="33"/>
        <v>198.2</v>
      </c>
      <c r="I234" s="145">
        <f t="shared" si="33"/>
        <v>133.20000000000002</v>
      </c>
      <c r="J234" s="145">
        <f t="shared" si="33"/>
        <v>132.81930853397012</v>
      </c>
      <c r="K234" s="145">
        <f t="shared" si="33"/>
        <v>138.35827383003925</v>
      </c>
      <c r="L234" s="145">
        <f t="shared" si="33"/>
        <v>146.9991790003985</v>
      </c>
      <c r="M234" s="145">
        <f t="shared" si="33"/>
        <v>157.71196666996994</v>
      </c>
      <c r="N234" s="145">
        <f t="shared" si="33"/>
        <v>170.33108716494152</v>
      </c>
      <c r="O234" s="145">
        <f t="shared" si="33"/>
        <v>184.11385908457197</v>
      </c>
      <c r="P234" s="145">
        <f t="shared" si="33"/>
        <v>199.0783268025391</v>
      </c>
      <c r="Q234" s="145">
        <f t="shared" si="33"/>
        <v>215.24183499615879</v>
      </c>
      <c r="R234" s="1"/>
      <c r="S234" s="82" t="str">
        <f>_xll.BLUEMATRIX2("/servlet/excelData",E234,$B$1,$B234&amp;":"&amp;E$115&amp;":"&amp;$R$114)</f>
        <v>#</v>
      </c>
      <c r="T234" s="82" t="str">
        <f>_xll.BLUEMATRIX2("/servlet/excelData",F234,$B$1,$B234&amp;":"&amp;F$115&amp;":"&amp;$R$114)</f>
        <v>#</v>
      </c>
      <c r="U234" s="82" t="str">
        <f>_xll.BLUEMATRIX2("/servlet/excelData",G234,$B$1,$B234&amp;":"&amp;G$115&amp;":"&amp;$R$114)</f>
        <v>#</v>
      </c>
      <c r="V234" s="82" t="str">
        <f>_xll.BLUEMATRIX2("/servlet/excelData",H234,$B$1,$B234&amp;":"&amp;H$115&amp;":"&amp;$R$114)</f>
        <v>#</v>
      </c>
      <c r="W234" s="82" t="str">
        <f>_xll.BLUEMATRIX2("/servlet/excelData",I234,$B$1,$B234&amp;":"&amp;I$115&amp;":"&amp;$R$114)</f>
        <v>#</v>
      </c>
      <c r="X234" s="82" t="str">
        <f>_xll.BLUEMATRIX2("/servlet/excelData",J234,$B$1,$B234&amp;":"&amp;J$115&amp;":"&amp;$R$114)</f>
        <v>#</v>
      </c>
      <c r="Y234" s="82" t="str">
        <f>_xll.BLUEMATRIX2("/servlet/excelData",K234,$B$1,$B234&amp;":"&amp;K$115&amp;":"&amp;$R$114)</f>
        <v>#</v>
      </c>
      <c r="Z234" s="82" t="str">
        <f>_xll.BLUEMATRIX2("/servlet/excelData",L234,$B$1,$B234&amp;":"&amp;L$115&amp;":"&amp;$R$114)</f>
        <v>#</v>
      </c>
      <c r="AA234" s="82" t="str">
        <f>_xll.BLUEMATRIX2("/servlet/excelData",M234,$B$1,$B234&amp;":"&amp;M$115&amp;":"&amp;$R$114)</f>
        <v>#</v>
      </c>
      <c r="AB234" s="82" t="str">
        <f>_xll.BLUEMATRIX2("/servlet/excelData",N234,$B$1,$B234&amp;":"&amp;N$115&amp;":"&amp;$R$114)</f>
        <v>#</v>
      </c>
      <c r="AC234" s="82" t="str">
        <f>_xll.BLUEMATRIX2("/servlet/excelData",O234,$B$1,$B234&amp;":"&amp;O$115&amp;":"&amp;$R$114)</f>
        <v>#</v>
      </c>
      <c r="AD234" s="82" t="str">
        <f>_xll.BLUEMATRIX2("/servlet/excelData",P234,$B$1,$B234&amp;":"&amp;P$115&amp;":"&amp;$R$114)</f>
        <v>#</v>
      </c>
      <c r="AE234" s="82" t="str">
        <f>_xll.BLUEMATRIX2("/servlet/excelData",Q234,$B$1,$B234&amp;":"&amp;Q$115&amp;":"&amp;$R$114)</f>
        <v>#</v>
      </c>
    </row>
    <row r="235" spans="1:31" ht="12.95" customHeight="1" x14ac:dyDescent="0.2">
      <c r="A235" s="26"/>
      <c r="B235" s="29"/>
      <c r="C235" s="130"/>
      <c r="D235" s="139"/>
      <c r="E235" s="139"/>
      <c r="F235" s="139"/>
      <c r="G235" s="139"/>
      <c r="H235" s="139"/>
      <c r="I235" s="139"/>
      <c r="J235" s="139"/>
      <c r="K235" s="139"/>
      <c r="L235" s="139"/>
      <c r="M235" s="139"/>
      <c r="N235" s="139"/>
      <c r="O235" s="139"/>
      <c r="P235" s="139"/>
      <c r="Q235" s="139"/>
      <c r="R235" s="1"/>
      <c r="S235" s="82"/>
      <c r="T235" s="82"/>
      <c r="U235" s="82"/>
      <c r="V235" s="82"/>
      <c r="W235" s="82"/>
      <c r="X235" s="82"/>
      <c r="Y235" s="82"/>
      <c r="Z235" s="82"/>
      <c r="AA235" s="82"/>
      <c r="AB235" s="82"/>
      <c r="AC235" s="82"/>
      <c r="AD235" s="82"/>
      <c r="AE235" s="82"/>
    </row>
    <row r="236" spans="1:31" ht="12.95" customHeight="1" x14ac:dyDescent="0.2">
      <c r="A236" s="26" t="s">
        <v>862</v>
      </c>
      <c r="B236" s="29" t="s">
        <v>863</v>
      </c>
      <c r="C236" s="146" t="s">
        <v>864</v>
      </c>
      <c r="D236" s="147"/>
      <c r="E236" s="147">
        <f>AVERAGE(E197:E197)</f>
        <v>0</v>
      </c>
      <c r="F236" s="147">
        <f t="shared" ref="F236:Q236" si="34">AVERAGE(E197:F197)</f>
        <v>0</v>
      </c>
      <c r="G236" s="147">
        <f t="shared" si="34"/>
        <v>18.7</v>
      </c>
      <c r="H236" s="147">
        <f t="shared" si="34"/>
        <v>160.04999999999998</v>
      </c>
      <c r="I236" s="147">
        <f t="shared" si="34"/>
        <v>248.2</v>
      </c>
      <c r="J236" s="147">
        <f t="shared" si="34"/>
        <v>214.5398704190944</v>
      </c>
      <c r="K236" s="147">
        <f t="shared" si="34"/>
        <v>218.83573429382881</v>
      </c>
      <c r="L236" s="147">
        <f t="shared" si="34"/>
        <v>227.3330166826342</v>
      </c>
      <c r="M236" s="147">
        <f t="shared" si="34"/>
        <v>238.48757761597028</v>
      </c>
      <c r="N236" s="147">
        <f t="shared" si="34"/>
        <v>251.70513193728112</v>
      </c>
      <c r="O236" s="147">
        <f t="shared" si="34"/>
        <v>266.53525839557346</v>
      </c>
      <c r="P236" s="147">
        <f t="shared" si="34"/>
        <v>282.61951747791306</v>
      </c>
      <c r="Q236" s="147">
        <f t="shared" si="34"/>
        <v>299.97967666042439</v>
      </c>
      <c r="R236" s="1"/>
      <c r="S236" s="82" t="str">
        <f>_xll.BLUEMATRIX2("/servlet/excelData",E236,$B$1,$B236&amp;":"&amp;E$115&amp;":"&amp;$R$114)</f>
        <v>#</v>
      </c>
      <c r="T236" s="82" t="str">
        <f>_xll.BLUEMATRIX2("/servlet/excelData",F236,$B$1,$B236&amp;":"&amp;F$115&amp;":"&amp;$R$114)</f>
        <v>#</v>
      </c>
      <c r="U236" s="82" t="str">
        <f>_xll.BLUEMATRIX2("/servlet/excelData",G236,$B$1,$B236&amp;":"&amp;G$115&amp;":"&amp;$R$114)</f>
        <v>#</v>
      </c>
      <c r="V236" s="82" t="str">
        <f>_xll.BLUEMATRIX2("/servlet/excelData",H236,$B$1,$B236&amp;":"&amp;H$115&amp;":"&amp;$R$114)</f>
        <v>#</v>
      </c>
      <c r="W236" s="82" t="str">
        <f>_xll.BLUEMATRIX2("/servlet/excelData",I236,$B$1,$B236&amp;":"&amp;I$115&amp;":"&amp;$R$114)</f>
        <v>#</v>
      </c>
      <c r="X236" s="82" t="str">
        <f>_xll.BLUEMATRIX2("/servlet/excelData",J236,$B$1,$B236&amp;":"&amp;J$115&amp;":"&amp;$R$114)</f>
        <v>#</v>
      </c>
      <c r="Y236" s="82" t="str">
        <f>_xll.BLUEMATRIX2("/servlet/excelData",K236,$B$1,$B236&amp;":"&amp;K$115&amp;":"&amp;$R$114)</f>
        <v>#</v>
      </c>
      <c r="Z236" s="82" t="str">
        <f>_xll.BLUEMATRIX2("/servlet/excelData",L236,$B$1,$B236&amp;":"&amp;L$115&amp;":"&amp;$R$114)</f>
        <v>#</v>
      </c>
      <c r="AA236" s="82" t="str">
        <f>_xll.BLUEMATRIX2("/servlet/excelData",M236,$B$1,$B236&amp;":"&amp;M$115&amp;":"&amp;$R$114)</f>
        <v>#</v>
      </c>
      <c r="AB236" s="82" t="str">
        <f>_xll.BLUEMATRIX2("/servlet/excelData",N236,$B$1,$B236&amp;":"&amp;N$115&amp;":"&amp;$R$114)</f>
        <v>#</v>
      </c>
      <c r="AC236" s="82" t="str">
        <f>_xll.BLUEMATRIX2("/servlet/excelData",O236,$B$1,$B236&amp;":"&amp;O$115&amp;":"&amp;$R$114)</f>
        <v>#</v>
      </c>
      <c r="AD236" s="82" t="str">
        <f>_xll.BLUEMATRIX2("/servlet/excelData",P236,$B$1,$B236&amp;":"&amp;P$115&amp;":"&amp;$R$114)</f>
        <v>#</v>
      </c>
      <c r="AE236" s="82" t="str">
        <f>_xll.BLUEMATRIX2("/servlet/excelData",Q236,$B$1,$B236&amp;":"&amp;Q$115&amp;":"&amp;$R$114)</f>
        <v>#</v>
      </c>
    </row>
    <row r="237" spans="1:31" ht="12.95" customHeight="1" x14ac:dyDescent="0.2">
      <c r="A237" s="26" t="s">
        <v>865</v>
      </c>
      <c r="B237" s="29" t="s">
        <v>866</v>
      </c>
      <c r="C237" s="146" t="s">
        <v>867</v>
      </c>
      <c r="D237" s="147"/>
      <c r="E237" s="147">
        <f>AVERAGE(E228:E228)</f>
        <v>0</v>
      </c>
      <c r="F237" s="147">
        <f t="shared" ref="F237:Q237" si="35">AVERAGE(E228:F228)</f>
        <v>0</v>
      </c>
      <c r="G237" s="147">
        <f t="shared" si="35"/>
        <v>1.6499999999999986</v>
      </c>
      <c r="H237" s="147">
        <f t="shared" si="35"/>
        <v>100.75</v>
      </c>
      <c r="I237" s="147">
        <f t="shared" si="35"/>
        <v>165.7</v>
      </c>
      <c r="J237" s="147">
        <f t="shared" si="35"/>
        <v>133.00965426698508</v>
      </c>
      <c r="K237" s="147">
        <f t="shared" si="35"/>
        <v>135.58879118200468</v>
      </c>
      <c r="L237" s="147">
        <f t="shared" si="35"/>
        <v>142.67872641521888</v>
      </c>
      <c r="M237" s="147">
        <f t="shared" si="35"/>
        <v>152.3555728351842</v>
      </c>
      <c r="N237" s="147">
        <f t="shared" si="35"/>
        <v>164.02152691745573</v>
      </c>
      <c r="O237" s="147">
        <f t="shared" si="35"/>
        <v>177.22247312475673</v>
      </c>
      <c r="P237" s="147">
        <f t="shared" si="35"/>
        <v>191.59609294355553</v>
      </c>
      <c r="Q237" s="147">
        <f t="shared" si="35"/>
        <v>207.16008089934894</v>
      </c>
      <c r="R237" s="1"/>
      <c r="S237" s="82" t="str">
        <f>_xll.BLUEMATRIX2("/servlet/excelData",E237,$B$1,$B237&amp;":"&amp;E$115&amp;":"&amp;$R$114)</f>
        <v>#</v>
      </c>
      <c r="T237" s="82" t="str">
        <f>_xll.BLUEMATRIX2("/servlet/excelData",F237,$B$1,$B237&amp;":"&amp;F$115&amp;":"&amp;$R$114)</f>
        <v>#</v>
      </c>
      <c r="U237" s="82" t="str">
        <f>_xll.BLUEMATRIX2("/servlet/excelData",G237,$B$1,$B237&amp;":"&amp;G$115&amp;":"&amp;$R$114)</f>
        <v>#</v>
      </c>
      <c r="V237" s="82" t="str">
        <f>_xll.BLUEMATRIX2("/servlet/excelData",H237,$B$1,$B237&amp;":"&amp;H$115&amp;":"&amp;$R$114)</f>
        <v>#</v>
      </c>
      <c r="W237" s="82" t="str">
        <f>_xll.BLUEMATRIX2("/servlet/excelData",I237,$B$1,$B237&amp;":"&amp;I$115&amp;":"&amp;$R$114)</f>
        <v>#</v>
      </c>
      <c r="X237" s="82" t="str">
        <f>_xll.BLUEMATRIX2("/servlet/excelData",J237,$B$1,$B237&amp;":"&amp;J$115&amp;":"&amp;$R$114)</f>
        <v>#</v>
      </c>
      <c r="Y237" s="82" t="str">
        <f>_xll.BLUEMATRIX2("/servlet/excelData",K237,$B$1,$B237&amp;":"&amp;K$115&amp;":"&amp;$R$114)</f>
        <v>#</v>
      </c>
      <c r="Z237" s="82" t="str">
        <f>_xll.BLUEMATRIX2("/servlet/excelData",L237,$B$1,$B237&amp;":"&amp;L$115&amp;":"&amp;$R$114)</f>
        <v>#</v>
      </c>
      <c r="AA237" s="82" t="str">
        <f>_xll.BLUEMATRIX2("/servlet/excelData",M237,$B$1,$B237&amp;":"&amp;M$115&amp;":"&amp;$R$114)</f>
        <v>#</v>
      </c>
      <c r="AB237" s="82" t="str">
        <f>_xll.BLUEMATRIX2("/servlet/excelData",N237,$B$1,$B237&amp;":"&amp;N$115&amp;":"&amp;$R$114)</f>
        <v>#</v>
      </c>
      <c r="AC237" s="82" t="str">
        <f>_xll.BLUEMATRIX2("/servlet/excelData",O237,$B$1,$B237&amp;":"&amp;O$115&amp;":"&amp;$R$114)</f>
        <v>#</v>
      </c>
      <c r="AD237" s="82" t="str">
        <f>_xll.BLUEMATRIX2("/servlet/excelData",P237,$B$1,$B237&amp;":"&amp;P$115&amp;":"&amp;$R$114)</f>
        <v>#</v>
      </c>
      <c r="AE237" s="82" t="str">
        <f>_xll.BLUEMATRIX2("/servlet/excelData",Q237,$B$1,$B237&amp;":"&amp;Q$115&amp;":"&amp;$R$114)</f>
        <v>#</v>
      </c>
    </row>
    <row r="238" spans="1:31" ht="12.95" customHeight="1" x14ac:dyDescent="0.2">
      <c r="A238" s="26"/>
      <c r="B238" s="29"/>
      <c r="C238" s="130"/>
      <c r="D238" s="139"/>
      <c r="E238" s="139"/>
      <c r="F238" s="139"/>
      <c r="G238" s="139"/>
      <c r="H238" s="139"/>
      <c r="I238" s="139"/>
      <c r="J238" s="139"/>
      <c r="K238" s="139"/>
      <c r="L238" s="139"/>
      <c r="M238" s="139"/>
      <c r="N238" s="139"/>
      <c r="O238" s="139"/>
      <c r="P238" s="139"/>
      <c r="Q238" s="139"/>
      <c r="R238" s="139"/>
      <c r="S238" s="33"/>
      <c r="T238" s="33"/>
      <c r="U238" s="33"/>
      <c r="V238" s="33"/>
      <c r="W238" s="33"/>
      <c r="X238" s="33"/>
      <c r="Y238" s="33"/>
      <c r="Z238" s="33"/>
      <c r="AA238" s="33"/>
      <c r="AB238" s="33"/>
      <c r="AC238" s="33"/>
      <c r="AD238" s="33"/>
      <c r="AE238" s="33"/>
    </row>
    <row r="239" spans="1:31" ht="12.95" customHeight="1" x14ac:dyDescent="0.2">
      <c r="A239" s="148"/>
      <c r="B239" s="29"/>
      <c r="C239" s="149"/>
      <c r="D239" s="150"/>
      <c r="E239" s="150"/>
      <c r="F239" s="150"/>
      <c r="G239" s="150"/>
      <c r="H239" s="150"/>
      <c r="I239" s="150"/>
      <c r="J239" s="150"/>
      <c r="K239" s="150"/>
      <c r="L239" s="150"/>
      <c r="M239" s="150"/>
      <c r="N239" s="150"/>
      <c r="O239" s="150"/>
      <c r="P239" s="150"/>
      <c r="Q239" s="150"/>
      <c r="R239" s="1"/>
      <c r="S239" s="33"/>
      <c r="T239" s="33"/>
      <c r="U239" s="33"/>
      <c r="V239" s="33"/>
      <c r="W239" s="33"/>
      <c r="X239" s="33"/>
      <c r="Y239" s="33"/>
      <c r="Z239" s="33"/>
      <c r="AA239" s="33"/>
      <c r="AB239" s="33"/>
      <c r="AC239" s="33"/>
      <c r="AD239" s="33"/>
      <c r="AE239" s="33"/>
    </row>
    <row r="240" spans="1:31" ht="15" customHeight="1" x14ac:dyDescent="0.2">
      <c r="A240" s="61"/>
      <c r="B240" s="29"/>
      <c r="C240" s="107" t="s">
        <v>868</v>
      </c>
      <c r="D240" s="108"/>
      <c r="E240" s="108"/>
      <c r="F240" s="108"/>
      <c r="G240" s="108"/>
      <c r="H240" s="108"/>
      <c r="I240" s="108"/>
      <c r="J240" s="108"/>
      <c r="K240" s="108"/>
      <c r="L240" s="108"/>
      <c r="M240" s="108"/>
      <c r="N240" s="108"/>
      <c r="O240" s="108"/>
      <c r="P240" s="108"/>
      <c r="Q240" s="108"/>
      <c r="R240" s="64"/>
      <c r="S240" s="33"/>
      <c r="T240" s="33"/>
      <c r="U240" s="33"/>
      <c r="V240" s="33"/>
      <c r="W240" s="33"/>
      <c r="X240" s="33"/>
      <c r="Y240" s="33"/>
      <c r="Z240" s="33"/>
      <c r="AA240" s="33"/>
      <c r="AB240" s="33"/>
      <c r="AC240" s="33"/>
      <c r="AD240" s="33"/>
      <c r="AE240" s="33"/>
    </row>
    <row r="241" spans="1:31" ht="12.95" customHeight="1" x14ac:dyDescent="0.2">
      <c r="A241" s="61"/>
      <c r="B241" s="29"/>
      <c r="C241" s="151" t="s">
        <v>869</v>
      </c>
      <c r="D241" s="7"/>
      <c r="E241" s="7"/>
      <c r="F241" s="7"/>
      <c r="G241" s="7"/>
      <c r="H241" s="7"/>
      <c r="I241" s="7"/>
      <c r="J241" s="7"/>
      <c r="K241" s="7"/>
      <c r="L241" s="7"/>
      <c r="M241" s="7"/>
      <c r="N241" s="7"/>
      <c r="O241" s="7"/>
      <c r="P241" s="7"/>
      <c r="Q241" s="7"/>
      <c r="R241" s="64"/>
      <c r="S241" s="33"/>
      <c r="T241" s="33"/>
      <c r="U241" s="33"/>
      <c r="V241" s="33"/>
      <c r="W241" s="33"/>
      <c r="X241" s="33"/>
      <c r="Y241" s="33"/>
      <c r="Z241" s="33"/>
      <c r="AA241" s="33"/>
      <c r="AB241" s="33"/>
      <c r="AC241" s="33"/>
      <c r="AD241" s="33"/>
      <c r="AE241" s="33"/>
    </row>
    <row r="242" spans="1:31" ht="12.95" customHeight="1" x14ac:dyDescent="0.2">
      <c r="A242" s="26" t="s">
        <v>870</v>
      </c>
      <c r="B242" s="29" t="s">
        <v>871</v>
      </c>
      <c r="C242" s="152" t="s">
        <v>75</v>
      </c>
      <c r="D242" s="111"/>
      <c r="E242" s="483"/>
      <c r="F242" s="483">
        <f>FY!F146</f>
        <v>0</v>
      </c>
      <c r="G242" s="483">
        <f>FY!G146</f>
        <v>0.19999999999999996</v>
      </c>
      <c r="H242" s="483">
        <f>FY!H146</f>
        <v>7.2</v>
      </c>
      <c r="I242" s="483">
        <f>FY!I146</f>
        <v>-7.1</v>
      </c>
      <c r="J242" s="483">
        <f>FY!J146</f>
        <v>16.471692986595372</v>
      </c>
      <c r="K242" s="483">
        <f>FY!K146</f>
        <v>21.580367708525142</v>
      </c>
      <c r="L242" s="483">
        <f>FY!L146</f>
        <v>25.531053994271389</v>
      </c>
      <c r="M242" s="483">
        <f>FY!M146</f>
        <v>28.423655630834983</v>
      </c>
      <c r="N242" s="483">
        <f>FY!N146</f>
        <v>30.971771014470328</v>
      </c>
      <c r="O242" s="483">
        <f>FY!O146</f>
        <v>32.533472289193867</v>
      </c>
      <c r="P242" s="483">
        <f>FY!P146</f>
        <v>34.173652009373534</v>
      </c>
      <c r="Q242" s="483">
        <f>FY!Q146</f>
        <v>35.896245898733802</v>
      </c>
      <c r="R242" s="1"/>
      <c r="S242" s="82" t="str">
        <f>_xll.BLUEMATRIX2("/servlet/excelData",E242,$B$1,$B242&amp;":"&amp;E$115&amp;":"&amp;$R$114)</f>
        <v>#</v>
      </c>
      <c r="T242" s="82" t="str">
        <f>_xll.BLUEMATRIX2("/servlet/excelData",F242,$B$1,$B242&amp;":"&amp;F$115&amp;":"&amp;$R$114)</f>
        <v>#</v>
      </c>
      <c r="U242" s="82" t="str">
        <f>_xll.BLUEMATRIX2("/servlet/excelData",G242,$B$1,$B242&amp;":"&amp;G$115&amp;":"&amp;$R$114)</f>
        <v>#</v>
      </c>
      <c r="V242" s="82" t="str">
        <f>_xll.BLUEMATRIX2("/servlet/excelData",H242,$B$1,$B242&amp;":"&amp;H$115&amp;":"&amp;$R$114)</f>
        <v>#</v>
      </c>
      <c r="W242" s="82" t="str">
        <f>_xll.BLUEMATRIX2("/servlet/excelData",I242,$B$1,$B242&amp;":"&amp;I$115&amp;":"&amp;$R$114)</f>
        <v>#</v>
      </c>
      <c r="X242" s="82" t="str">
        <f>_xll.BLUEMATRIX2("/servlet/excelData",J242,$B$1,$B242&amp;":"&amp;J$115&amp;":"&amp;$R$114)</f>
        <v>#</v>
      </c>
      <c r="Y242" s="82" t="str">
        <f>_xll.BLUEMATRIX2("/servlet/excelData",K242,$B$1,$B242&amp;":"&amp;K$115&amp;":"&amp;$R$114)</f>
        <v>#</v>
      </c>
      <c r="Z242" s="82" t="str">
        <f>_xll.BLUEMATRIX2("/servlet/excelData",L242,$B$1,$B242&amp;":"&amp;L$115&amp;":"&amp;$R$114)</f>
        <v>#</v>
      </c>
      <c r="AA242" s="82" t="str">
        <f>_xll.BLUEMATRIX2("/servlet/excelData",M242,$B$1,$B242&amp;":"&amp;M$115&amp;":"&amp;$R$114)</f>
        <v>#</v>
      </c>
      <c r="AB242" s="82" t="str">
        <f>_xll.BLUEMATRIX2("/servlet/excelData",N242,$B$1,$B242&amp;":"&amp;N$115&amp;":"&amp;$R$114)</f>
        <v>#</v>
      </c>
      <c r="AC242" s="82" t="str">
        <f>_xll.BLUEMATRIX2("/servlet/excelData",O242,$B$1,$B242&amp;":"&amp;O$115&amp;":"&amp;$R$114)</f>
        <v>#</v>
      </c>
      <c r="AD242" s="82" t="str">
        <f>_xll.BLUEMATRIX2("/servlet/excelData",P242,$B$1,$B242&amp;":"&amp;P$115&amp;":"&amp;$R$114)</f>
        <v>#</v>
      </c>
      <c r="AE242" s="82" t="str">
        <f>_xll.BLUEMATRIX2("/servlet/excelData",Q242,$B$1,$B242&amp;":"&amp;Q$115&amp;":"&amp;$R$114)</f>
        <v>#</v>
      </c>
    </row>
    <row r="243" spans="1:31" ht="12.95" customHeight="1" x14ac:dyDescent="0.2">
      <c r="A243" s="26" t="s">
        <v>872</v>
      </c>
      <c r="B243" s="29" t="s">
        <v>873</v>
      </c>
      <c r="C243" s="153" t="s">
        <v>874</v>
      </c>
      <c r="D243" s="154"/>
      <c r="E243" s="488"/>
      <c r="F243" s="483"/>
      <c r="G243" s="488"/>
      <c r="H243" s="488"/>
      <c r="I243" s="488"/>
      <c r="J243" s="488"/>
      <c r="K243" s="488"/>
      <c r="L243" s="488"/>
      <c r="M243" s="488"/>
      <c r="N243" s="488"/>
      <c r="O243" s="488"/>
      <c r="P243" s="488"/>
      <c r="Q243" s="488"/>
      <c r="R243" s="1"/>
      <c r="S243" s="82" t="str">
        <f>_xll.BLUEMATRIX2("/servlet/excelData",E243,$B$1,$B243&amp;":"&amp;E$115&amp;":"&amp;$R$114)</f>
        <v>#</v>
      </c>
      <c r="T243" s="82" t="str">
        <f>_xll.BLUEMATRIX2("/servlet/excelData",F243,$B$1,$B243&amp;":"&amp;F$115&amp;":"&amp;$R$114)</f>
        <v>#</v>
      </c>
      <c r="U243" s="82" t="str">
        <f>_xll.BLUEMATRIX2("/servlet/excelData",G243,$B$1,$B243&amp;":"&amp;G$115&amp;":"&amp;$R$114)</f>
        <v>#</v>
      </c>
      <c r="V243" s="82" t="str">
        <f>_xll.BLUEMATRIX2("/servlet/excelData",H243,$B$1,$B243&amp;":"&amp;H$115&amp;":"&amp;$R$114)</f>
        <v>#</v>
      </c>
      <c r="W243" s="82" t="str">
        <f>_xll.BLUEMATRIX2("/servlet/excelData",I243,$B$1,$B243&amp;":"&amp;I$115&amp;":"&amp;$R$114)</f>
        <v>#</v>
      </c>
      <c r="X243" s="82" t="str">
        <f>_xll.BLUEMATRIX2("/servlet/excelData",J243,$B$1,$B243&amp;":"&amp;J$115&amp;":"&amp;$R$114)</f>
        <v>#</v>
      </c>
      <c r="Y243" s="82" t="str">
        <f>_xll.BLUEMATRIX2("/servlet/excelData",K243,$B$1,$B243&amp;":"&amp;K$115&amp;":"&amp;$R$114)</f>
        <v>#</v>
      </c>
      <c r="Z243" s="82" t="str">
        <f>_xll.BLUEMATRIX2("/servlet/excelData",L243,$B$1,$B243&amp;":"&amp;L$115&amp;":"&amp;$R$114)</f>
        <v>#</v>
      </c>
      <c r="AA243" s="82" t="str">
        <f>_xll.BLUEMATRIX2("/servlet/excelData",M243,$B$1,$B243&amp;":"&amp;M$115&amp;":"&amp;$R$114)</f>
        <v>#</v>
      </c>
      <c r="AB243" s="82" t="str">
        <f>_xll.BLUEMATRIX2("/servlet/excelData",N243,$B$1,$B243&amp;":"&amp;N$115&amp;":"&amp;$R$114)</f>
        <v>#</v>
      </c>
      <c r="AC243" s="82" t="str">
        <f>_xll.BLUEMATRIX2("/servlet/excelData",O243,$B$1,$B243&amp;":"&amp;O$115&amp;":"&amp;$R$114)</f>
        <v>#</v>
      </c>
      <c r="AD243" s="82" t="str">
        <f>_xll.BLUEMATRIX2("/servlet/excelData",P243,$B$1,$B243&amp;":"&amp;P$115&amp;":"&amp;$R$114)</f>
        <v>#</v>
      </c>
      <c r="AE243" s="82" t="str">
        <f>_xll.BLUEMATRIX2("/servlet/excelData",Q243,$B$1,$B243&amp;":"&amp;Q$115&amp;":"&amp;$R$114)</f>
        <v>#</v>
      </c>
    </row>
    <row r="244" spans="1:31" ht="12.95" customHeight="1" x14ac:dyDescent="0.2">
      <c r="A244" s="26" t="s">
        <v>875</v>
      </c>
      <c r="B244" s="29" t="s">
        <v>876</v>
      </c>
      <c r="C244" s="152" t="s">
        <v>142</v>
      </c>
      <c r="D244" s="155"/>
      <c r="E244" s="483"/>
      <c r="F244" s="483">
        <f>FY!F149</f>
        <v>0</v>
      </c>
      <c r="G244" s="483">
        <f>FY!G149</f>
        <v>0</v>
      </c>
      <c r="H244" s="483">
        <f>FY!H149</f>
        <v>3.9999999999999982</v>
      </c>
      <c r="I244" s="483">
        <f>FY!I149</f>
        <v>5.1999999999999993</v>
      </c>
      <c r="J244" s="483">
        <f>FY!J149</f>
        <v>1.9712009839572318</v>
      </c>
      <c r="K244" s="483">
        <f>FY!K149</f>
        <v>1.3135600491978572</v>
      </c>
      <c r="L244" s="483">
        <f>FY!L149</f>
        <v>1.3792380516577545</v>
      </c>
      <c r="M244" s="483">
        <f>FY!M149</f>
        <v>1.4481999542406498</v>
      </c>
      <c r="N244" s="483">
        <f>FY!N149</f>
        <v>1.5206099519526752</v>
      </c>
      <c r="O244" s="483">
        <f>FY!O149</f>
        <v>1.5966404495503106</v>
      </c>
      <c r="P244" s="483">
        <f>FY!P149</f>
        <v>1.6764724720278323</v>
      </c>
      <c r="Q244" s="483">
        <f>FY!Q149</f>
        <v>1.7602960956292151</v>
      </c>
      <c r="R244" s="1"/>
      <c r="S244" s="82" t="str">
        <f>_xll.BLUEMATRIX2("/servlet/excelData",E244,$B$1,$B244&amp;":"&amp;E$115&amp;":"&amp;$R$114)</f>
        <v>#</v>
      </c>
      <c r="T244" s="82" t="str">
        <f>_xll.BLUEMATRIX2("/servlet/excelData",F244,$B$1,$B244&amp;":"&amp;F$115&amp;":"&amp;$R$114)</f>
        <v>#</v>
      </c>
      <c r="U244" s="82" t="str">
        <f>_xll.BLUEMATRIX2("/servlet/excelData",G244,$B$1,$B244&amp;":"&amp;G$115&amp;":"&amp;$R$114)</f>
        <v>#</v>
      </c>
      <c r="V244" s="82" t="str">
        <f>_xll.BLUEMATRIX2("/servlet/excelData",H244,$B$1,$B244&amp;":"&amp;H$115&amp;":"&amp;$R$114)</f>
        <v>#</v>
      </c>
      <c r="W244" s="82" t="str">
        <f>_xll.BLUEMATRIX2("/servlet/excelData",I244,$B$1,$B244&amp;":"&amp;I$115&amp;":"&amp;$R$114)</f>
        <v>#</v>
      </c>
      <c r="X244" s="82" t="str">
        <f>_xll.BLUEMATRIX2("/servlet/excelData",J244,$B$1,$B244&amp;":"&amp;J$115&amp;":"&amp;$R$114)</f>
        <v>#</v>
      </c>
      <c r="Y244" s="82" t="str">
        <f>_xll.BLUEMATRIX2("/servlet/excelData",K244,$B$1,$B244&amp;":"&amp;K$115&amp;":"&amp;$R$114)</f>
        <v>#</v>
      </c>
      <c r="Z244" s="82" t="str">
        <f>_xll.BLUEMATRIX2("/servlet/excelData",L244,$B$1,$B244&amp;":"&amp;L$115&amp;":"&amp;$R$114)</f>
        <v>#</v>
      </c>
      <c r="AA244" s="82" t="str">
        <f>_xll.BLUEMATRIX2("/servlet/excelData",M244,$B$1,$B244&amp;":"&amp;M$115&amp;":"&amp;$R$114)</f>
        <v>#</v>
      </c>
      <c r="AB244" s="82" t="str">
        <f>_xll.BLUEMATRIX2("/servlet/excelData",N244,$B$1,$B244&amp;":"&amp;N$115&amp;":"&amp;$R$114)</f>
        <v>#</v>
      </c>
      <c r="AC244" s="82" t="str">
        <f>_xll.BLUEMATRIX2("/servlet/excelData",O244,$B$1,$B244&amp;":"&amp;O$115&amp;":"&amp;$R$114)</f>
        <v>#</v>
      </c>
      <c r="AD244" s="82" t="str">
        <f>_xll.BLUEMATRIX2("/servlet/excelData",P244,$B$1,$B244&amp;":"&amp;P$115&amp;":"&amp;$R$114)</f>
        <v>#</v>
      </c>
      <c r="AE244" s="82" t="str">
        <f>_xll.BLUEMATRIX2("/servlet/excelData",Q244,$B$1,$B244&amp;":"&amp;Q$115&amp;":"&amp;$R$114)</f>
        <v>#</v>
      </c>
    </row>
    <row r="245" spans="1:31" ht="12.95" customHeight="1" x14ac:dyDescent="0.2">
      <c r="A245" s="26" t="s">
        <v>877</v>
      </c>
      <c r="B245" s="29" t="s">
        <v>878</v>
      </c>
      <c r="C245" s="152" t="s">
        <v>879</v>
      </c>
      <c r="D245" s="111"/>
      <c r="E245" s="483"/>
      <c r="F245" s="483">
        <f>FY!F150</f>
        <v>0</v>
      </c>
      <c r="G245" s="483">
        <f>FY!G150</f>
        <v>-12.3</v>
      </c>
      <c r="H245" s="483">
        <f>FY!H150</f>
        <v>-28.599999999999998</v>
      </c>
      <c r="I245" s="483">
        <f>FY!I150</f>
        <v>-21.6</v>
      </c>
      <c r="J245" s="483">
        <f>FY!J150</f>
        <v>-2</v>
      </c>
      <c r="K245" s="483">
        <f>FY!K150</f>
        <v>0</v>
      </c>
      <c r="L245" s="483">
        <f>FY!L150</f>
        <v>0</v>
      </c>
      <c r="M245" s="483">
        <f>FY!M150</f>
        <v>0</v>
      </c>
      <c r="N245" s="483">
        <f>FY!N150</f>
        <v>0</v>
      </c>
      <c r="O245" s="483">
        <f>FY!O150</f>
        <v>0</v>
      </c>
      <c r="P245" s="483">
        <f>FY!P150</f>
        <v>0</v>
      </c>
      <c r="Q245" s="483">
        <f>FY!Q150</f>
        <v>0</v>
      </c>
      <c r="R245" s="1"/>
      <c r="S245" s="82" t="str">
        <f>_xll.BLUEMATRIX2("/servlet/excelData",E245,$B$1,$B245&amp;":"&amp;E$115&amp;":"&amp;$R$114)</f>
        <v>#</v>
      </c>
      <c r="T245" s="82" t="str">
        <f>_xll.BLUEMATRIX2("/servlet/excelData",F245,$B$1,$B245&amp;":"&amp;F$115&amp;":"&amp;$R$114)</f>
        <v>#</v>
      </c>
      <c r="U245" s="82" t="str">
        <f>_xll.BLUEMATRIX2("/servlet/excelData",G245,$B$1,$B245&amp;":"&amp;G$115&amp;":"&amp;$R$114)</f>
        <v>#</v>
      </c>
      <c r="V245" s="82" t="str">
        <f>_xll.BLUEMATRIX2("/servlet/excelData",H245,$B$1,$B245&amp;":"&amp;H$115&amp;":"&amp;$R$114)</f>
        <v>#</v>
      </c>
      <c r="W245" s="82" t="str">
        <f>_xll.BLUEMATRIX2("/servlet/excelData",I245,$B$1,$B245&amp;":"&amp;I$115&amp;":"&amp;$R$114)</f>
        <v>#</v>
      </c>
      <c r="X245" s="82" t="str">
        <f>_xll.BLUEMATRIX2("/servlet/excelData",J245,$B$1,$B245&amp;":"&amp;J$115&amp;":"&amp;$R$114)</f>
        <v>#</v>
      </c>
      <c r="Y245" s="82" t="str">
        <f>_xll.BLUEMATRIX2("/servlet/excelData",K245,$B$1,$B245&amp;":"&amp;K$115&amp;":"&amp;$R$114)</f>
        <v>#</v>
      </c>
      <c r="Z245" s="82" t="str">
        <f>_xll.BLUEMATRIX2("/servlet/excelData",L245,$B$1,$B245&amp;":"&amp;L$115&amp;":"&amp;$R$114)</f>
        <v>#</v>
      </c>
      <c r="AA245" s="82" t="str">
        <f>_xll.BLUEMATRIX2("/servlet/excelData",M245,$B$1,$B245&amp;":"&amp;M$115&amp;":"&amp;$R$114)</f>
        <v>#</v>
      </c>
      <c r="AB245" s="82" t="str">
        <f>_xll.BLUEMATRIX2("/servlet/excelData",N245,$B$1,$B245&amp;":"&amp;N$115&amp;":"&amp;$R$114)</f>
        <v>#</v>
      </c>
      <c r="AC245" s="82" t="str">
        <f>_xll.BLUEMATRIX2("/servlet/excelData",O245,$B$1,$B245&amp;":"&amp;O$115&amp;":"&amp;$R$114)</f>
        <v>#</v>
      </c>
      <c r="AD245" s="82" t="str">
        <f>_xll.BLUEMATRIX2("/servlet/excelData",P245,$B$1,$B245&amp;":"&amp;P$115&amp;":"&amp;$R$114)</f>
        <v>#</v>
      </c>
      <c r="AE245" s="82" t="str">
        <f>_xll.BLUEMATRIX2("/servlet/excelData",Q245,$B$1,$B245&amp;":"&amp;Q$115&amp;":"&amp;$R$114)</f>
        <v>#</v>
      </c>
    </row>
    <row r="246" spans="1:31" ht="12.95" customHeight="1" x14ac:dyDescent="0.2">
      <c r="A246" s="26" t="s">
        <v>880</v>
      </c>
      <c r="B246" s="29" t="s">
        <v>881</v>
      </c>
      <c r="C246" s="135" t="s">
        <v>882</v>
      </c>
      <c r="D246" s="114"/>
      <c r="E246" s="114"/>
      <c r="F246" s="114">
        <f t="shared" ref="F246:Q246" si="36">F242+F243+F244+F245</f>
        <v>0</v>
      </c>
      <c r="G246" s="114">
        <f t="shared" si="36"/>
        <v>-12.100000000000001</v>
      </c>
      <c r="H246" s="114">
        <f t="shared" si="36"/>
        <v>-17.399999999999999</v>
      </c>
      <c r="I246" s="114">
        <f t="shared" si="36"/>
        <v>-23.5</v>
      </c>
      <c r="J246" s="114">
        <f t="shared" si="36"/>
        <v>16.442893970552603</v>
      </c>
      <c r="K246" s="114">
        <f t="shared" si="36"/>
        <v>22.893927757722999</v>
      </c>
      <c r="L246" s="114">
        <f t="shared" si="36"/>
        <v>26.910292045929143</v>
      </c>
      <c r="M246" s="114">
        <f t="shared" si="36"/>
        <v>29.871855585075632</v>
      </c>
      <c r="N246" s="114">
        <f t="shared" si="36"/>
        <v>32.492380966422999</v>
      </c>
      <c r="O246" s="114">
        <f t="shared" si="36"/>
        <v>34.130112738744174</v>
      </c>
      <c r="P246" s="114">
        <f t="shared" si="36"/>
        <v>35.850124481401366</v>
      </c>
      <c r="Q246" s="114">
        <f t="shared" si="36"/>
        <v>37.656541994363018</v>
      </c>
      <c r="R246" s="1"/>
      <c r="S246" s="82" t="str">
        <f>_xll.BLUEMATRIX2("/servlet/excelData",E246,$B$1,$B246&amp;":"&amp;E$115&amp;":"&amp;$R$114)</f>
        <v>#</v>
      </c>
      <c r="T246" s="82" t="str">
        <f>_xll.BLUEMATRIX2("/servlet/excelData",F246,$B$1,$B246&amp;":"&amp;F$115&amp;":"&amp;$R$114)</f>
        <v>#</v>
      </c>
      <c r="U246" s="82" t="str">
        <f>_xll.BLUEMATRIX2("/servlet/excelData",G246,$B$1,$B246&amp;":"&amp;G$115&amp;":"&amp;$R$114)</f>
        <v>#</v>
      </c>
      <c r="V246" s="82" t="str">
        <f>_xll.BLUEMATRIX2("/servlet/excelData",H246,$B$1,$B246&amp;":"&amp;H$115&amp;":"&amp;$R$114)</f>
        <v>#</v>
      </c>
      <c r="W246" s="82" t="str">
        <f>_xll.BLUEMATRIX2("/servlet/excelData",I246,$B$1,$B246&amp;":"&amp;I$115&amp;":"&amp;$R$114)</f>
        <v>#</v>
      </c>
      <c r="X246" s="82" t="str">
        <f>_xll.BLUEMATRIX2("/servlet/excelData",J246,$B$1,$B246&amp;":"&amp;J$115&amp;":"&amp;$R$114)</f>
        <v>#</v>
      </c>
      <c r="Y246" s="82" t="str">
        <f>_xll.BLUEMATRIX2("/servlet/excelData",K246,$B$1,$B246&amp;":"&amp;K$115&amp;":"&amp;$R$114)</f>
        <v>#</v>
      </c>
      <c r="Z246" s="82" t="str">
        <f>_xll.BLUEMATRIX2("/servlet/excelData",L246,$B$1,$B246&amp;":"&amp;L$115&amp;":"&amp;$R$114)</f>
        <v>#</v>
      </c>
      <c r="AA246" s="82" t="str">
        <f>_xll.BLUEMATRIX2("/servlet/excelData",M246,$B$1,$B246&amp;":"&amp;M$115&amp;":"&amp;$R$114)</f>
        <v>#</v>
      </c>
      <c r="AB246" s="82" t="str">
        <f>_xll.BLUEMATRIX2("/servlet/excelData",N246,$B$1,$B246&amp;":"&amp;N$115&amp;":"&amp;$R$114)</f>
        <v>#</v>
      </c>
      <c r="AC246" s="82" t="str">
        <f>_xll.BLUEMATRIX2("/servlet/excelData",O246,$B$1,$B246&amp;":"&amp;O$115&amp;":"&amp;$R$114)</f>
        <v>#</v>
      </c>
      <c r="AD246" s="82" t="str">
        <f>_xll.BLUEMATRIX2("/servlet/excelData",P246,$B$1,$B246&amp;":"&amp;P$115&amp;":"&amp;$R$114)</f>
        <v>#</v>
      </c>
      <c r="AE246" s="82" t="str">
        <f>_xll.BLUEMATRIX2("/servlet/excelData",Q246,$B$1,$B246&amp;":"&amp;Q$115&amp;":"&amp;$R$114)</f>
        <v>#</v>
      </c>
    </row>
    <row r="247" spans="1:31" ht="12.95" customHeight="1" x14ac:dyDescent="0.2">
      <c r="A247" s="26" t="s">
        <v>883</v>
      </c>
      <c r="B247" s="29" t="s">
        <v>884</v>
      </c>
      <c r="C247" s="153" t="s">
        <v>140</v>
      </c>
      <c r="D247" s="111"/>
      <c r="E247" s="483"/>
      <c r="F247" s="483">
        <f>FY!F147</f>
        <v>0</v>
      </c>
      <c r="G247" s="483">
        <f>FY!G147</f>
        <v>-1.2</v>
      </c>
      <c r="H247" s="483">
        <f>FY!H147</f>
        <v>-1.9000000000000004</v>
      </c>
      <c r="I247" s="483">
        <f>FY!I147</f>
        <v>-2.2000000000000002</v>
      </c>
      <c r="J247" s="483">
        <f>FY!J147</f>
        <v>-3.1315162958369278</v>
      </c>
      <c r="K247" s="483">
        <f>FY!K147</f>
        <v>-3.0722527452691315</v>
      </c>
      <c r="L247" s="483">
        <f>FY!L147</f>
        <v>-2.9181680516125295</v>
      </c>
      <c r="M247" s="483">
        <f>FY!M147</f>
        <v>-2.7145078603249502</v>
      </c>
      <c r="N247" s="483">
        <f>FY!N147</f>
        <v>-2.4678318960215213</v>
      </c>
      <c r="O247" s="483">
        <f>FY!O147</f>
        <v>-2.199879652318053</v>
      </c>
      <c r="P247" s="483">
        <f>FY!P147</f>
        <v>-1.9029678381200241</v>
      </c>
      <c r="Q247" s="483">
        <f>FY!Q147</f>
        <v>-1.5930165882717675</v>
      </c>
      <c r="R247" s="1"/>
      <c r="S247" s="82" t="str">
        <f>_xll.BLUEMATRIX2("/servlet/excelData",E247,$B$1,$B247&amp;":"&amp;E$115&amp;":"&amp;$R$114)</f>
        <v>#</v>
      </c>
      <c r="T247" s="82" t="str">
        <f>_xll.BLUEMATRIX2("/servlet/excelData",F247,$B$1,$B247&amp;":"&amp;F$115&amp;":"&amp;$R$114)</f>
        <v>#</v>
      </c>
      <c r="U247" s="82" t="str">
        <f>_xll.BLUEMATRIX2("/servlet/excelData",G247,$B$1,$B247&amp;":"&amp;G$115&amp;":"&amp;$R$114)</f>
        <v>#</v>
      </c>
      <c r="V247" s="82" t="str">
        <f>_xll.BLUEMATRIX2("/servlet/excelData",H247,$B$1,$B247&amp;":"&amp;H$115&amp;":"&amp;$R$114)</f>
        <v>#</v>
      </c>
      <c r="W247" s="82" t="str">
        <f>_xll.BLUEMATRIX2("/servlet/excelData",I247,$B$1,$B247&amp;":"&amp;I$115&amp;":"&amp;$R$114)</f>
        <v>#</v>
      </c>
      <c r="X247" s="82" t="str">
        <f>_xll.BLUEMATRIX2("/servlet/excelData",J247,$B$1,$B247&amp;":"&amp;J$115&amp;":"&amp;$R$114)</f>
        <v>#</v>
      </c>
      <c r="Y247" s="82" t="str">
        <f>_xll.BLUEMATRIX2("/servlet/excelData",K247,$B$1,$B247&amp;":"&amp;K$115&amp;":"&amp;$R$114)</f>
        <v>#</v>
      </c>
      <c r="Z247" s="82" t="str">
        <f>_xll.BLUEMATRIX2("/servlet/excelData",L247,$B$1,$B247&amp;":"&amp;L$115&amp;":"&amp;$R$114)</f>
        <v>#</v>
      </c>
      <c r="AA247" s="82" t="str">
        <f>_xll.BLUEMATRIX2("/servlet/excelData",M247,$B$1,$B247&amp;":"&amp;M$115&amp;":"&amp;$R$114)</f>
        <v>#</v>
      </c>
      <c r="AB247" s="82" t="str">
        <f>_xll.BLUEMATRIX2("/servlet/excelData",N247,$B$1,$B247&amp;":"&amp;N$115&amp;":"&amp;$R$114)</f>
        <v>#</v>
      </c>
      <c r="AC247" s="82" t="str">
        <f>_xll.BLUEMATRIX2("/servlet/excelData",O247,$B$1,$B247&amp;":"&amp;O$115&amp;":"&amp;$R$114)</f>
        <v>#</v>
      </c>
      <c r="AD247" s="82" t="str">
        <f>_xll.BLUEMATRIX2("/servlet/excelData",P247,$B$1,$B247&amp;":"&amp;P$115&amp;":"&amp;$R$114)</f>
        <v>#</v>
      </c>
      <c r="AE247" s="82" t="str">
        <f>_xll.BLUEMATRIX2("/servlet/excelData",Q247,$B$1,$B247&amp;":"&amp;Q$115&amp;":"&amp;$R$114)</f>
        <v>#</v>
      </c>
    </row>
    <row r="248" spans="1:31" ht="12.95" customHeight="1" x14ac:dyDescent="0.2">
      <c r="A248" s="26" t="s">
        <v>885</v>
      </c>
      <c r="B248" s="29" t="s">
        <v>886</v>
      </c>
      <c r="C248" s="153" t="s">
        <v>887</v>
      </c>
      <c r="D248" s="111"/>
      <c r="E248" s="483"/>
      <c r="F248" s="483">
        <f>FY!F148</f>
        <v>0</v>
      </c>
      <c r="G248" s="483">
        <f>FY!G148</f>
        <v>0</v>
      </c>
      <c r="H248" s="483">
        <f>FY!H148</f>
        <v>0</v>
      </c>
      <c r="I248" s="483">
        <f>FY!I148</f>
        <v>0</v>
      </c>
      <c r="J248" s="483">
        <f>FY!J148</f>
        <v>-1.5511322288443461</v>
      </c>
      <c r="K248" s="483">
        <f>FY!K148</f>
        <v>-2.80241369831533</v>
      </c>
      <c r="L248" s="483">
        <f>FY!L148</f>
        <v>-3.7032450730111011</v>
      </c>
      <c r="M248" s="483">
        <f>FY!M148</f>
        <v>-4.591194715530623</v>
      </c>
      <c r="N248" s="483">
        <f>FY!N148</f>
        <v>-5.408194497844959</v>
      </c>
      <c r="O248" s="483">
        <f>FY!O148</f>
        <v>-5.9069022512702105</v>
      </c>
      <c r="P248" s="483">
        <f>FY!P148</f>
        <v>-6.41334330770019</v>
      </c>
      <c r="Q248" s="483">
        <f>FY!Q148</f>
        <v>-6.9272177972655733</v>
      </c>
      <c r="R248" s="1"/>
      <c r="S248" s="82" t="str">
        <f>_xll.BLUEMATRIX2("/servlet/excelData",E248,$B$1,$B248&amp;":"&amp;E$115&amp;":"&amp;$R$114)</f>
        <v>#</v>
      </c>
      <c r="T248" s="82" t="str">
        <f>_xll.BLUEMATRIX2("/servlet/excelData",F248,$B$1,$B248&amp;":"&amp;F$115&amp;":"&amp;$R$114)</f>
        <v>#</v>
      </c>
      <c r="U248" s="82" t="str">
        <f>_xll.BLUEMATRIX2("/servlet/excelData",G248,$B$1,$B248&amp;":"&amp;G$115&amp;":"&amp;$R$114)</f>
        <v>#</v>
      </c>
      <c r="V248" s="82" t="str">
        <f>_xll.BLUEMATRIX2("/servlet/excelData",H248,$B$1,$B248&amp;":"&amp;H$115&amp;":"&amp;$R$114)</f>
        <v>#</v>
      </c>
      <c r="W248" s="82" t="str">
        <f>_xll.BLUEMATRIX2("/servlet/excelData",I248,$B$1,$B248&amp;":"&amp;I$115&amp;":"&amp;$R$114)</f>
        <v>#</v>
      </c>
      <c r="X248" s="82" t="str">
        <f>_xll.BLUEMATRIX2("/servlet/excelData",J248,$B$1,$B248&amp;":"&amp;J$115&amp;":"&amp;$R$114)</f>
        <v>#</v>
      </c>
      <c r="Y248" s="82" t="str">
        <f>_xll.BLUEMATRIX2("/servlet/excelData",K248,$B$1,$B248&amp;":"&amp;K$115&amp;":"&amp;$R$114)</f>
        <v>#</v>
      </c>
      <c r="Z248" s="82" t="str">
        <f>_xll.BLUEMATRIX2("/servlet/excelData",L248,$B$1,$B248&amp;":"&amp;L$115&amp;":"&amp;$R$114)</f>
        <v>#</v>
      </c>
      <c r="AA248" s="82" t="str">
        <f>_xll.BLUEMATRIX2("/servlet/excelData",M248,$B$1,$B248&amp;":"&amp;M$115&amp;":"&amp;$R$114)</f>
        <v>#</v>
      </c>
      <c r="AB248" s="82" t="str">
        <f>_xll.BLUEMATRIX2("/servlet/excelData",N248,$B$1,$B248&amp;":"&amp;N$115&amp;":"&amp;$R$114)</f>
        <v>#</v>
      </c>
      <c r="AC248" s="82" t="str">
        <f>_xll.BLUEMATRIX2("/servlet/excelData",O248,$B$1,$B248&amp;":"&amp;O$115&amp;":"&amp;$R$114)</f>
        <v>#</v>
      </c>
      <c r="AD248" s="82" t="str">
        <f>_xll.BLUEMATRIX2("/servlet/excelData",P248,$B$1,$B248&amp;":"&amp;P$115&amp;":"&amp;$R$114)</f>
        <v>#</v>
      </c>
      <c r="AE248" s="82" t="str">
        <f>_xll.BLUEMATRIX2("/servlet/excelData",Q248,$B$1,$B248&amp;":"&amp;Q$115&amp;":"&amp;$R$114)</f>
        <v>#</v>
      </c>
    </row>
    <row r="249" spans="1:31" ht="12.95" customHeight="1" x14ac:dyDescent="0.2">
      <c r="A249" s="26" t="s">
        <v>888</v>
      </c>
      <c r="B249" s="29" t="s">
        <v>889</v>
      </c>
      <c r="C249" s="135" t="s">
        <v>890</v>
      </c>
      <c r="D249" s="114"/>
      <c r="E249" s="114"/>
      <c r="F249" s="114">
        <f t="shared" ref="F249:Q249" si="37">F246+F247+F248</f>
        <v>0</v>
      </c>
      <c r="G249" s="114">
        <f t="shared" si="37"/>
        <v>-13.3</v>
      </c>
      <c r="H249" s="114">
        <f t="shared" si="37"/>
        <v>-19.299999999999997</v>
      </c>
      <c r="I249" s="114">
        <f t="shared" si="37"/>
        <v>-25.7</v>
      </c>
      <c r="J249" s="114">
        <f t="shared" si="37"/>
        <v>11.76024544587133</v>
      </c>
      <c r="K249" s="114">
        <f t="shared" si="37"/>
        <v>17.019261314138536</v>
      </c>
      <c r="L249" s="114">
        <f t="shared" si="37"/>
        <v>20.288878921305514</v>
      </c>
      <c r="M249" s="114">
        <f t="shared" si="37"/>
        <v>22.566153009220059</v>
      </c>
      <c r="N249" s="114">
        <f t="shared" si="37"/>
        <v>24.616354572556517</v>
      </c>
      <c r="O249" s="114">
        <f t="shared" si="37"/>
        <v>26.02333083515591</v>
      </c>
      <c r="P249" s="114">
        <f t="shared" si="37"/>
        <v>27.533813335581151</v>
      </c>
      <c r="Q249" s="114">
        <f t="shared" si="37"/>
        <v>29.136307608825678</v>
      </c>
      <c r="R249" s="1"/>
      <c r="S249" s="82" t="str">
        <f>_xll.BLUEMATRIX2("/servlet/excelData",E249,$B$1,$B249&amp;":"&amp;E$115&amp;":"&amp;$R$114)</f>
        <v>#</v>
      </c>
      <c r="T249" s="82" t="str">
        <f>_xll.BLUEMATRIX2("/servlet/excelData",F249,$B$1,$B249&amp;":"&amp;F$115&amp;":"&amp;$R$114)</f>
        <v>#</v>
      </c>
      <c r="U249" s="82" t="str">
        <f>_xll.BLUEMATRIX2("/servlet/excelData",G249,$B$1,$B249&amp;":"&amp;G$115&amp;":"&amp;$R$114)</f>
        <v>#</v>
      </c>
      <c r="V249" s="82" t="str">
        <f>_xll.BLUEMATRIX2("/servlet/excelData",H249,$B$1,$B249&amp;":"&amp;H$115&amp;":"&amp;$R$114)</f>
        <v>#</v>
      </c>
      <c r="W249" s="82" t="str">
        <f>_xll.BLUEMATRIX2("/servlet/excelData",I249,$B$1,$B249&amp;":"&amp;I$115&amp;":"&amp;$R$114)</f>
        <v>#</v>
      </c>
      <c r="X249" s="82" t="str">
        <f>_xll.BLUEMATRIX2("/servlet/excelData",J249,$B$1,$B249&amp;":"&amp;J$115&amp;":"&amp;$R$114)</f>
        <v>#</v>
      </c>
      <c r="Y249" s="82" t="str">
        <f>_xll.BLUEMATRIX2("/servlet/excelData",K249,$B$1,$B249&amp;":"&amp;K$115&amp;":"&amp;$R$114)</f>
        <v>#</v>
      </c>
      <c r="Z249" s="82" t="str">
        <f>_xll.BLUEMATRIX2("/servlet/excelData",L249,$B$1,$B249&amp;":"&amp;L$115&amp;":"&amp;$R$114)</f>
        <v>#</v>
      </c>
      <c r="AA249" s="82" t="str">
        <f>_xll.BLUEMATRIX2("/servlet/excelData",M249,$B$1,$B249&amp;":"&amp;M$115&amp;":"&amp;$R$114)</f>
        <v>#</v>
      </c>
      <c r="AB249" s="82" t="str">
        <f>_xll.BLUEMATRIX2("/servlet/excelData",N249,$B$1,$B249&amp;":"&amp;N$115&amp;":"&amp;$R$114)</f>
        <v>#</v>
      </c>
      <c r="AC249" s="82" t="str">
        <f>_xll.BLUEMATRIX2("/servlet/excelData",O249,$B$1,$B249&amp;":"&amp;O$115&amp;":"&amp;$R$114)</f>
        <v>#</v>
      </c>
      <c r="AD249" s="82" t="str">
        <f>_xll.BLUEMATRIX2("/servlet/excelData",P249,$B$1,$B249&amp;":"&amp;P$115&amp;":"&amp;$R$114)</f>
        <v>#</v>
      </c>
      <c r="AE249" s="82" t="str">
        <f>_xll.BLUEMATRIX2("/servlet/excelData",Q249,$B$1,$B249&amp;":"&amp;Q$115&amp;":"&amp;$R$114)</f>
        <v>#</v>
      </c>
    </row>
    <row r="250" spans="1:31" ht="12.95" customHeight="1" x14ac:dyDescent="0.2">
      <c r="A250" s="26"/>
      <c r="B250" s="29"/>
      <c r="C250" s="121" t="s">
        <v>891</v>
      </c>
      <c r="D250" s="122"/>
      <c r="E250" s="486"/>
      <c r="F250" s="486">
        <f>ROUND(FY!F152-F249,2)</f>
        <v>0</v>
      </c>
      <c r="G250" s="486">
        <f>ROUND(FY!G152-G249,2)</f>
        <v>0</v>
      </c>
      <c r="H250" s="486">
        <f>ROUND(FY!H152-H249,2)</f>
        <v>0</v>
      </c>
      <c r="I250" s="486">
        <f>ROUND(FY!I152-I249,2)</f>
        <v>0</v>
      </c>
      <c r="J250" s="486">
        <f>ROUND(FY!J152-J249,2)</f>
        <v>0</v>
      </c>
      <c r="K250" s="486">
        <f>ROUND(FY!K152-K249,2)</f>
        <v>0</v>
      </c>
      <c r="L250" s="486">
        <f>ROUND(FY!L152-L249,2)</f>
        <v>0</v>
      </c>
      <c r="M250" s="486">
        <f>ROUND(FY!M152-M249,2)</f>
        <v>0</v>
      </c>
      <c r="N250" s="486">
        <f>ROUND(FY!N152-N249,2)</f>
        <v>0</v>
      </c>
      <c r="O250" s="486">
        <f>ROUND(FY!O152-O249,2)</f>
        <v>0</v>
      </c>
      <c r="P250" s="486">
        <f>ROUND(FY!P152-P249,2)</f>
        <v>0</v>
      </c>
      <c r="Q250" s="486">
        <f>ROUND(FY!Q152-Q249,2)</f>
        <v>0</v>
      </c>
      <c r="R250" s="1"/>
      <c r="S250" s="82"/>
      <c r="T250" s="82"/>
      <c r="U250" s="82"/>
      <c r="V250" s="82"/>
      <c r="W250" s="82"/>
      <c r="X250" s="82"/>
      <c r="Y250" s="82"/>
      <c r="Z250" s="82"/>
      <c r="AA250" s="82"/>
      <c r="AB250" s="82"/>
      <c r="AC250" s="82"/>
      <c r="AD250" s="82"/>
      <c r="AE250" s="82"/>
    </row>
    <row r="251" spans="1:31" ht="12.95" customHeight="1" x14ac:dyDescent="0.2">
      <c r="A251" s="26"/>
      <c r="B251" s="29"/>
      <c r="C251" s="130"/>
      <c r="D251" s="119"/>
      <c r="E251" s="119"/>
      <c r="F251" s="119"/>
      <c r="G251" s="119"/>
      <c r="H251" s="119"/>
      <c r="I251" s="119"/>
      <c r="J251" s="119"/>
      <c r="K251" s="119"/>
      <c r="L251" s="119"/>
      <c r="M251" s="119"/>
      <c r="N251" s="119"/>
      <c r="O251" s="119"/>
      <c r="P251" s="119"/>
      <c r="Q251" s="119"/>
      <c r="R251" s="1"/>
      <c r="S251" s="82"/>
      <c r="T251" s="82"/>
      <c r="U251" s="82"/>
      <c r="V251" s="82"/>
      <c r="W251" s="82"/>
      <c r="X251" s="82"/>
      <c r="Y251" s="82"/>
      <c r="Z251" s="82"/>
      <c r="AA251" s="82"/>
      <c r="AB251" s="82"/>
      <c r="AC251" s="82"/>
      <c r="AD251" s="82"/>
      <c r="AE251" s="82"/>
    </row>
    <row r="252" spans="1:31" ht="12.95" customHeight="1" x14ac:dyDescent="0.2">
      <c r="A252" s="61"/>
      <c r="B252" s="29"/>
      <c r="C252" s="156"/>
      <c r="D252" s="147"/>
      <c r="E252" s="147"/>
      <c r="F252" s="147"/>
      <c r="G252" s="147"/>
      <c r="H252" s="147"/>
      <c r="I252" s="147"/>
      <c r="J252" s="147"/>
      <c r="K252" s="147"/>
      <c r="L252" s="147"/>
      <c r="M252" s="147"/>
      <c r="N252" s="147"/>
      <c r="O252" s="147"/>
      <c r="P252" s="147"/>
      <c r="Q252" s="147"/>
      <c r="R252" s="64"/>
      <c r="S252" s="82"/>
      <c r="T252" s="82"/>
      <c r="U252" s="82"/>
      <c r="V252" s="82"/>
      <c r="W252" s="82"/>
      <c r="X252" s="82"/>
      <c r="Y252" s="82"/>
      <c r="Z252" s="82"/>
      <c r="AA252" s="82"/>
      <c r="AB252" s="82"/>
      <c r="AC252" s="82"/>
      <c r="AD252" s="82"/>
      <c r="AE252" s="82"/>
    </row>
    <row r="253" spans="1:31" ht="12.95" customHeight="1" x14ac:dyDescent="0.2">
      <c r="A253" s="26"/>
      <c r="B253" s="29"/>
      <c r="C253" s="157" t="s">
        <v>892</v>
      </c>
      <c r="D253" s="147"/>
      <c r="E253" s="147"/>
      <c r="F253" s="147"/>
      <c r="G253" s="147"/>
      <c r="H253" s="147"/>
      <c r="I253" s="147"/>
      <c r="J253" s="147"/>
      <c r="K253" s="147"/>
      <c r="L253" s="147"/>
      <c r="M253" s="147"/>
      <c r="N253" s="147"/>
      <c r="O253" s="147"/>
      <c r="P253" s="147"/>
      <c r="Q253" s="147"/>
      <c r="R253" s="1"/>
      <c r="S253" s="82"/>
      <c r="T253" s="82"/>
      <c r="U253" s="82"/>
      <c r="V253" s="82"/>
      <c r="W253" s="82"/>
      <c r="X253" s="82"/>
      <c r="Y253" s="82"/>
      <c r="Z253" s="82"/>
      <c r="AA253" s="82"/>
      <c r="AB253" s="82"/>
      <c r="AC253" s="82"/>
      <c r="AD253" s="82"/>
      <c r="AE253" s="82"/>
    </row>
    <row r="254" spans="1:31" ht="12.95" customHeight="1" x14ac:dyDescent="0.2">
      <c r="A254" s="26" t="s">
        <v>893</v>
      </c>
      <c r="B254" s="29" t="s">
        <v>894</v>
      </c>
      <c r="C254" s="158" t="s">
        <v>895</v>
      </c>
      <c r="D254" s="111"/>
      <c r="E254" s="111"/>
      <c r="F254" s="111">
        <f>FY!F158</f>
        <v>0</v>
      </c>
      <c r="G254" s="111">
        <f>FY!G158</f>
        <v>0</v>
      </c>
      <c r="H254" s="111">
        <f>FY!H158</f>
        <v>-72.5</v>
      </c>
      <c r="I254" s="111">
        <f>FY!I158</f>
        <v>0</v>
      </c>
      <c r="J254" s="111">
        <f>FY!J158</f>
        <v>0</v>
      </c>
      <c r="K254" s="111">
        <f>FY!K158</f>
        <v>0</v>
      </c>
      <c r="L254" s="111">
        <f>FY!L158</f>
        <v>0</v>
      </c>
      <c r="M254" s="111">
        <f>FY!M158</f>
        <v>0</v>
      </c>
      <c r="N254" s="111">
        <f>FY!N158</f>
        <v>0</v>
      </c>
      <c r="O254" s="111">
        <f>FY!O158</f>
        <v>0</v>
      </c>
      <c r="P254" s="111">
        <f>FY!P158</f>
        <v>0</v>
      </c>
      <c r="Q254" s="111">
        <f>FY!Q158</f>
        <v>0</v>
      </c>
      <c r="R254" s="1"/>
      <c r="S254" s="82" t="str">
        <f>_xll.BLUEMATRIX2("/servlet/excelData",E254,$B$1,$B254&amp;":"&amp;E$115&amp;":"&amp;$R$114)</f>
        <v>#</v>
      </c>
      <c r="T254" s="82" t="str">
        <f>_xll.BLUEMATRIX2("/servlet/excelData",F254,$B$1,$B254&amp;":"&amp;F$115&amp;":"&amp;$R$114)</f>
        <v>#</v>
      </c>
      <c r="U254" s="82" t="str">
        <f>_xll.BLUEMATRIX2("/servlet/excelData",G254,$B$1,$B254&amp;":"&amp;G$115&amp;":"&amp;$R$114)</f>
        <v>#</v>
      </c>
      <c r="V254" s="82" t="str">
        <f>_xll.BLUEMATRIX2("/servlet/excelData",H254,$B$1,$B254&amp;":"&amp;H$115&amp;":"&amp;$R$114)</f>
        <v>#</v>
      </c>
      <c r="W254" s="82" t="str">
        <f>_xll.BLUEMATRIX2("/servlet/excelData",I254,$B$1,$B254&amp;":"&amp;I$115&amp;":"&amp;$R$114)</f>
        <v>#</v>
      </c>
      <c r="X254" s="82" t="str">
        <f>_xll.BLUEMATRIX2("/servlet/excelData",J254,$B$1,$B254&amp;":"&amp;J$115&amp;":"&amp;$R$114)</f>
        <v>#</v>
      </c>
      <c r="Y254" s="82" t="str">
        <f>_xll.BLUEMATRIX2("/servlet/excelData",K254,$B$1,$B254&amp;":"&amp;K$115&amp;":"&amp;$R$114)</f>
        <v>#</v>
      </c>
      <c r="Z254" s="82" t="str">
        <f>_xll.BLUEMATRIX2("/servlet/excelData",L254,$B$1,$B254&amp;":"&amp;L$115&amp;":"&amp;$R$114)</f>
        <v>#</v>
      </c>
      <c r="AA254" s="82" t="str">
        <f>_xll.BLUEMATRIX2("/servlet/excelData",M254,$B$1,$B254&amp;":"&amp;M$115&amp;":"&amp;$R$114)</f>
        <v>#</v>
      </c>
      <c r="AB254" s="82" t="str">
        <f>_xll.BLUEMATRIX2("/servlet/excelData",N254,$B$1,$B254&amp;":"&amp;N$115&amp;":"&amp;$R$114)</f>
        <v>#</v>
      </c>
      <c r="AC254" s="82" t="str">
        <f>_xll.BLUEMATRIX2("/servlet/excelData",O254,$B$1,$B254&amp;":"&amp;O$115&amp;":"&amp;$R$114)</f>
        <v>#</v>
      </c>
      <c r="AD254" s="82" t="str">
        <f>_xll.BLUEMATRIX2("/servlet/excelData",P254,$B$1,$B254&amp;":"&amp;P$115&amp;":"&amp;$R$114)</f>
        <v>#</v>
      </c>
      <c r="AE254" s="82" t="str">
        <f>_xll.BLUEMATRIX2("/servlet/excelData",Q254,$B$1,$B254&amp;":"&amp;Q$115&amp;":"&amp;$R$114)</f>
        <v>#</v>
      </c>
    </row>
    <row r="255" spans="1:31" ht="12.95" customHeight="1" x14ac:dyDescent="0.2">
      <c r="A255" s="26" t="s">
        <v>896</v>
      </c>
      <c r="B255" s="29" t="s">
        <v>897</v>
      </c>
      <c r="C255" s="159" t="s">
        <v>898</v>
      </c>
      <c r="D255" s="111"/>
      <c r="E255" s="111"/>
      <c r="F255" s="111"/>
      <c r="G255" s="111"/>
      <c r="H255" s="111"/>
      <c r="I255" s="111"/>
      <c r="J255" s="111"/>
      <c r="K255" s="111"/>
      <c r="L255" s="111"/>
      <c r="M255" s="111"/>
      <c r="N255" s="111"/>
      <c r="O255" s="111"/>
      <c r="P255" s="111"/>
      <c r="Q255" s="111"/>
      <c r="R255" s="1"/>
      <c r="S255" s="82" t="str">
        <f>_xll.BLUEMATRIX2("/servlet/excelData",E255,$B$1,$B255&amp;":"&amp;E$115&amp;":"&amp;$R$114)</f>
        <v>#</v>
      </c>
      <c r="T255" s="82" t="str">
        <f>_xll.BLUEMATRIX2("/servlet/excelData",F255,$B$1,$B255&amp;":"&amp;F$115&amp;":"&amp;$R$114)</f>
        <v>#</v>
      </c>
      <c r="U255" s="82" t="str">
        <f>_xll.BLUEMATRIX2("/servlet/excelData",G255,$B$1,$B255&amp;":"&amp;G$115&amp;":"&amp;$R$114)</f>
        <v>#</v>
      </c>
      <c r="V255" s="82" t="str">
        <f>_xll.BLUEMATRIX2("/servlet/excelData",H255,$B$1,$B255&amp;":"&amp;H$115&amp;":"&amp;$R$114)</f>
        <v>#</v>
      </c>
      <c r="W255" s="82" t="str">
        <f>_xll.BLUEMATRIX2("/servlet/excelData",I255,$B$1,$B255&amp;":"&amp;I$115&amp;":"&amp;$R$114)</f>
        <v>#</v>
      </c>
      <c r="X255" s="82" t="str">
        <f>_xll.BLUEMATRIX2("/servlet/excelData",J255,$B$1,$B255&amp;":"&amp;J$115&amp;":"&amp;$R$114)</f>
        <v>#</v>
      </c>
      <c r="Y255" s="82" t="str">
        <f>_xll.BLUEMATRIX2("/servlet/excelData",K255,$B$1,$B255&amp;":"&amp;K$115&amp;":"&amp;$R$114)</f>
        <v>#</v>
      </c>
      <c r="Z255" s="82" t="str">
        <f>_xll.BLUEMATRIX2("/servlet/excelData",L255,$B$1,$B255&amp;":"&amp;L$115&amp;":"&amp;$R$114)</f>
        <v>#</v>
      </c>
      <c r="AA255" s="82" t="str">
        <f>_xll.BLUEMATRIX2("/servlet/excelData",M255,$B$1,$B255&amp;":"&amp;M$115&amp;":"&amp;$R$114)</f>
        <v>#</v>
      </c>
      <c r="AB255" s="82" t="str">
        <f>_xll.BLUEMATRIX2("/servlet/excelData",N255,$B$1,$B255&amp;":"&amp;N$115&amp;":"&amp;$R$114)</f>
        <v>#</v>
      </c>
      <c r="AC255" s="82" t="str">
        <f>_xll.BLUEMATRIX2("/servlet/excelData",O255,$B$1,$B255&amp;":"&amp;O$115&amp;":"&amp;$R$114)</f>
        <v>#</v>
      </c>
      <c r="AD255" s="82" t="str">
        <f>_xll.BLUEMATRIX2("/servlet/excelData",P255,$B$1,$B255&amp;":"&amp;P$115&amp;":"&amp;$R$114)</f>
        <v>#</v>
      </c>
      <c r="AE255" s="82" t="str">
        <f>_xll.BLUEMATRIX2("/servlet/excelData",Q255,$B$1,$B255&amp;":"&amp;Q$115&amp;":"&amp;$R$114)</f>
        <v>#</v>
      </c>
    </row>
    <row r="256" spans="1:31" ht="12.95" customHeight="1" x14ac:dyDescent="0.2">
      <c r="A256" s="26" t="s">
        <v>899</v>
      </c>
      <c r="B256" s="29" t="s">
        <v>900</v>
      </c>
      <c r="C256" s="160" t="s">
        <v>901</v>
      </c>
      <c r="D256" s="161"/>
      <c r="E256" s="161"/>
      <c r="F256" s="161">
        <f>FY!F154+FY!F155</f>
        <v>0</v>
      </c>
      <c r="G256" s="570">
        <f>FY!G154+FY!G155</f>
        <v>-3.3</v>
      </c>
      <c r="H256" s="161">
        <f>FY!H154+FY!H155</f>
        <v>-6.1000000000000005</v>
      </c>
      <c r="I256" s="161">
        <f>FY!I154+FY!I155</f>
        <v>-9</v>
      </c>
      <c r="J256" s="161">
        <f>FY!J154+FY!J155</f>
        <v>-10.021676216280451</v>
      </c>
      <c r="K256" s="161">
        <f>FY!K154+FY!K155</f>
        <v>-10.522760027094474</v>
      </c>
      <c r="L256" s="161">
        <f>FY!L154+FY!L155</f>
        <v>-11.048898028449198</v>
      </c>
      <c r="M256" s="161">
        <f>FY!M154+FY!M155</f>
        <v>-10.611445734225004</v>
      </c>
      <c r="N256" s="161">
        <f>FY!N154+FY!N155</f>
        <v>-11.142018020936252</v>
      </c>
      <c r="O256" s="161">
        <f>FY!O154+FY!O155</f>
        <v>-11.699118921983068</v>
      </c>
      <c r="P256" s="161">
        <f>FY!P154+FY!P155</f>
        <v>-12.28407486808222</v>
      </c>
      <c r="Q256" s="161">
        <f>FY!Q154+FY!Q155</f>
        <v>-12.898278611486329</v>
      </c>
      <c r="R256" s="1"/>
      <c r="S256" s="82" t="str">
        <f>_xll.BLUEMATRIX2("/servlet/excelData",E256,$B$1,$B256&amp;":"&amp;E$115&amp;":"&amp;$R$114)</f>
        <v>#</v>
      </c>
      <c r="T256" s="82" t="str">
        <f>_xll.BLUEMATRIX2("/servlet/excelData",F256,$B$1,$B256&amp;":"&amp;F$115&amp;":"&amp;$R$114)</f>
        <v>#</v>
      </c>
      <c r="U256" s="82" t="str">
        <f>_xll.BLUEMATRIX2("/servlet/excelData",G256,$B$1,$B256&amp;":"&amp;G$115&amp;":"&amp;$R$114)</f>
        <v>#</v>
      </c>
      <c r="V256" s="82" t="str">
        <f>_xll.BLUEMATRIX2("/servlet/excelData",H256,$B$1,$B256&amp;":"&amp;H$115&amp;":"&amp;$R$114)</f>
        <v>#</v>
      </c>
      <c r="W256" s="82" t="str">
        <f>_xll.BLUEMATRIX2("/servlet/excelData",I256,$B$1,$B256&amp;":"&amp;I$115&amp;":"&amp;$R$114)</f>
        <v>#</v>
      </c>
      <c r="X256" s="82" t="str">
        <f>_xll.BLUEMATRIX2("/servlet/excelData",J256,$B$1,$B256&amp;":"&amp;J$115&amp;":"&amp;$R$114)</f>
        <v>#</v>
      </c>
      <c r="Y256" s="82" t="str">
        <f>_xll.BLUEMATRIX2("/servlet/excelData",K256,$B$1,$B256&amp;":"&amp;K$115&amp;":"&amp;$R$114)</f>
        <v>#</v>
      </c>
      <c r="Z256" s="82" t="str">
        <f>_xll.BLUEMATRIX2("/servlet/excelData",L256,$B$1,$B256&amp;":"&amp;L$115&amp;":"&amp;$R$114)</f>
        <v>#</v>
      </c>
      <c r="AA256" s="82" t="str">
        <f>_xll.BLUEMATRIX2("/servlet/excelData",M256,$B$1,$B256&amp;":"&amp;M$115&amp;":"&amp;$R$114)</f>
        <v>#</v>
      </c>
      <c r="AB256" s="82" t="str">
        <f>_xll.BLUEMATRIX2("/servlet/excelData",N256,$B$1,$B256&amp;":"&amp;N$115&amp;":"&amp;$R$114)</f>
        <v>#</v>
      </c>
      <c r="AC256" s="82" t="str">
        <f>_xll.BLUEMATRIX2("/servlet/excelData",O256,$B$1,$B256&amp;":"&amp;O$115&amp;":"&amp;$R$114)</f>
        <v>#</v>
      </c>
      <c r="AD256" s="82" t="str">
        <f>_xll.BLUEMATRIX2("/servlet/excelData",P256,$B$1,$B256&amp;":"&amp;P$115&amp;":"&amp;$R$114)</f>
        <v>#</v>
      </c>
      <c r="AE256" s="82" t="str">
        <f>_xll.BLUEMATRIX2("/servlet/excelData",Q256,$B$1,$B256&amp;":"&amp;Q$115&amp;":"&amp;$R$114)</f>
        <v>#</v>
      </c>
    </row>
    <row r="257" spans="1:31" ht="12.95" customHeight="1" x14ac:dyDescent="0.2">
      <c r="A257" s="26" t="s">
        <v>902</v>
      </c>
      <c r="B257" s="29" t="s">
        <v>903</v>
      </c>
      <c r="C257" s="159" t="s">
        <v>904</v>
      </c>
      <c r="D257" s="111"/>
      <c r="E257" s="483"/>
      <c r="F257" s="483"/>
      <c r="G257" s="483"/>
      <c r="H257" s="483"/>
      <c r="I257" s="483"/>
      <c r="J257" s="483"/>
      <c r="K257" s="483"/>
      <c r="L257" s="483"/>
      <c r="M257" s="483"/>
      <c r="N257" s="483"/>
      <c r="O257" s="483"/>
      <c r="P257" s="483"/>
      <c r="Q257" s="483"/>
      <c r="R257" s="1"/>
      <c r="S257" s="82" t="str">
        <f>_xll.BLUEMATRIX2("/servlet/excelData",E257,$B$1,$B257&amp;":"&amp;E$115&amp;":"&amp;$R$114)</f>
        <v>#</v>
      </c>
      <c r="T257" s="82" t="str">
        <f>_xll.BLUEMATRIX2("/servlet/excelData",F257,$B$1,$B257&amp;":"&amp;F$115&amp;":"&amp;$R$114)</f>
        <v>#</v>
      </c>
      <c r="U257" s="82" t="str">
        <f>_xll.BLUEMATRIX2("/servlet/excelData",G257,$B$1,$B257&amp;":"&amp;G$115&amp;":"&amp;$R$114)</f>
        <v>#</v>
      </c>
      <c r="V257" s="82" t="str">
        <f>_xll.BLUEMATRIX2("/servlet/excelData",H257,$B$1,$B257&amp;":"&amp;H$115&amp;":"&amp;$R$114)</f>
        <v>#</v>
      </c>
      <c r="W257" s="82" t="str">
        <f>_xll.BLUEMATRIX2("/servlet/excelData",I257,$B$1,$B257&amp;":"&amp;I$115&amp;":"&amp;$R$114)</f>
        <v>#</v>
      </c>
      <c r="X257" s="82" t="str">
        <f>_xll.BLUEMATRIX2("/servlet/excelData",J257,$B$1,$B257&amp;":"&amp;J$115&amp;":"&amp;$R$114)</f>
        <v>#</v>
      </c>
      <c r="Y257" s="82" t="str">
        <f>_xll.BLUEMATRIX2("/servlet/excelData",K257,$B$1,$B257&amp;":"&amp;K$115&amp;":"&amp;$R$114)</f>
        <v>#</v>
      </c>
      <c r="Z257" s="82" t="str">
        <f>_xll.BLUEMATRIX2("/servlet/excelData",L257,$B$1,$B257&amp;":"&amp;L$115&amp;":"&amp;$R$114)</f>
        <v>#</v>
      </c>
      <c r="AA257" s="82" t="str">
        <f>_xll.BLUEMATRIX2("/servlet/excelData",M257,$B$1,$B257&amp;":"&amp;M$115&amp;":"&amp;$R$114)</f>
        <v>#</v>
      </c>
      <c r="AB257" s="82" t="str">
        <f>_xll.BLUEMATRIX2("/servlet/excelData",N257,$B$1,$B257&amp;":"&amp;N$115&amp;":"&amp;$R$114)</f>
        <v>#</v>
      </c>
      <c r="AC257" s="82" t="str">
        <f>_xll.BLUEMATRIX2("/servlet/excelData",O257,$B$1,$B257&amp;":"&amp;O$115&amp;":"&amp;$R$114)</f>
        <v>#</v>
      </c>
      <c r="AD257" s="82" t="str">
        <f>_xll.BLUEMATRIX2("/servlet/excelData",P257,$B$1,$B257&amp;":"&amp;P$115&amp;":"&amp;$R$114)</f>
        <v>#</v>
      </c>
      <c r="AE257" s="82" t="str">
        <f>_xll.BLUEMATRIX2("/servlet/excelData",Q257,$B$1,$B257&amp;":"&amp;Q$115&amp;":"&amp;$R$114)</f>
        <v>#</v>
      </c>
    </row>
    <row r="258" spans="1:31" ht="12.95" customHeight="1" x14ac:dyDescent="0.2">
      <c r="A258" s="26" t="s">
        <v>905</v>
      </c>
      <c r="B258" s="29" t="s">
        <v>906</v>
      </c>
      <c r="C258" s="159" t="s">
        <v>907</v>
      </c>
      <c r="D258" s="111"/>
      <c r="E258" s="488"/>
      <c r="F258" s="483">
        <f>FY!F156</f>
        <v>0</v>
      </c>
      <c r="G258" s="483">
        <f>FY!G156</f>
        <v>0</v>
      </c>
      <c r="H258" s="483">
        <f>FY!H156</f>
        <v>0</v>
      </c>
      <c r="I258" s="483">
        <f>FY!I156</f>
        <v>0</v>
      </c>
      <c r="J258" s="483">
        <f>FY!J156</f>
        <v>0</v>
      </c>
      <c r="K258" s="483">
        <f>FY!K156</f>
        <v>0</v>
      </c>
      <c r="L258" s="483">
        <f>FY!L156</f>
        <v>0</v>
      </c>
      <c r="M258" s="483">
        <f>FY!M156</f>
        <v>0</v>
      </c>
      <c r="N258" s="483">
        <f>FY!N156</f>
        <v>0</v>
      </c>
      <c r="O258" s="483">
        <f>FY!O156</f>
        <v>0</v>
      </c>
      <c r="P258" s="483">
        <f>FY!P156</f>
        <v>0</v>
      </c>
      <c r="Q258" s="483">
        <f>FY!Q156</f>
        <v>0</v>
      </c>
      <c r="R258" s="1"/>
      <c r="S258" s="82" t="str">
        <f>_xll.BLUEMATRIX2("/servlet/excelData",E258,$B$1,$B258&amp;":"&amp;E$115&amp;":"&amp;$R$114)</f>
        <v>#</v>
      </c>
      <c r="T258" s="82" t="str">
        <f>_xll.BLUEMATRIX2("/servlet/excelData",F258,$B$1,$B258&amp;":"&amp;F$115&amp;":"&amp;$R$114)</f>
        <v>#</v>
      </c>
      <c r="U258" s="82" t="str">
        <f>_xll.BLUEMATRIX2("/servlet/excelData",G258,$B$1,$B258&amp;":"&amp;G$115&amp;":"&amp;$R$114)</f>
        <v>#</v>
      </c>
      <c r="V258" s="82" t="str">
        <f>_xll.BLUEMATRIX2("/servlet/excelData",H258,$B$1,$B258&amp;":"&amp;H$115&amp;":"&amp;$R$114)</f>
        <v>#</v>
      </c>
      <c r="W258" s="82" t="str">
        <f>_xll.BLUEMATRIX2("/servlet/excelData",I258,$B$1,$B258&amp;":"&amp;I$115&amp;":"&amp;$R$114)</f>
        <v>#</v>
      </c>
      <c r="X258" s="82" t="str">
        <f>_xll.BLUEMATRIX2("/servlet/excelData",J258,$B$1,$B258&amp;":"&amp;J$115&amp;":"&amp;$R$114)</f>
        <v>#</v>
      </c>
      <c r="Y258" s="82" t="str">
        <f>_xll.BLUEMATRIX2("/servlet/excelData",K258,$B$1,$B258&amp;":"&amp;K$115&amp;":"&amp;$R$114)</f>
        <v>#</v>
      </c>
      <c r="Z258" s="82" t="str">
        <f>_xll.BLUEMATRIX2("/servlet/excelData",L258,$B$1,$B258&amp;":"&amp;L$115&amp;":"&amp;$R$114)</f>
        <v>#</v>
      </c>
      <c r="AA258" s="82" t="str">
        <f>_xll.BLUEMATRIX2("/servlet/excelData",M258,$B$1,$B258&amp;":"&amp;M$115&amp;":"&amp;$R$114)</f>
        <v>#</v>
      </c>
      <c r="AB258" s="82" t="str">
        <f>_xll.BLUEMATRIX2("/servlet/excelData",N258,$B$1,$B258&amp;":"&amp;N$115&amp;":"&amp;$R$114)</f>
        <v>#</v>
      </c>
      <c r="AC258" s="82" t="str">
        <f>_xll.BLUEMATRIX2("/servlet/excelData",O258,$B$1,$B258&amp;":"&amp;O$115&amp;":"&amp;$R$114)</f>
        <v>#</v>
      </c>
      <c r="AD258" s="82" t="str">
        <f>_xll.BLUEMATRIX2("/servlet/excelData",P258,$B$1,$B258&amp;":"&amp;P$115&amp;":"&amp;$R$114)</f>
        <v>#</v>
      </c>
      <c r="AE258" s="82" t="str">
        <f>_xll.BLUEMATRIX2("/servlet/excelData",Q258,$B$1,$B258&amp;":"&amp;Q$115&amp;":"&amp;$R$114)</f>
        <v>#</v>
      </c>
    </row>
    <row r="259" spans="1:31" ht="12.95" customHeight="1" x14ac:dyDescent="0.2">
      <c r="A259" s="26" t="s">
        <v>908</v>
      </c>
      <c r="B259" s="29" t="s">
        <v>909</v>
      </c>
      <c r="C259" s="159" t="s">
        <v>910</v>
      </c>
      <c r="D259" s="111"/>
      <c r="E259" s="483"/>
      <c r="F259" s="483">
        <f>FY!F157</f>
        <v>0</v>
      </c>
      <c r="G259" s="483">
        <f>FY!G157</f>
        <v>0</v>
      </c>
      <c r="H259" s="483">
        <f>FY!H157</f>
        <v>0.4</v>
      </c>
      <c r="I259" s="483">
        <f>FY!I157</f>
        <v>0</v>
      </c>
      <c r="J259" s="483">
        <f>FY!J157</f>
        <v>0</v>
      </c>
      <c r="K259" s="483">
        <f>FY!K157</f>
        <v>0</v>
      </c>
      <c r="L259" s="483">
        <f>FY!L157</f>
        <v>0</v>
      </c>
      <c r="M259" s="483">
        <f>FY!M157</f>
        <v>0</v>
      </c>
      <c r="N259" s="483">
        <f>FY!N157</f>
        <v>0</v>
      </c>
      <c r="O259" s="483">
        <f>FY!O157</f>
        <v>0</v>
      </c>
      <c r="P259" s="483">
        <f>FY!P157</f>
        <v>0</v>
      </c>
      <c r="Q259" s="483">
        <f>FY!Q157</f>
        <v>0</v>
      </c>
      <c r="R259" s="1"/>
      <c r="S259" s="82" t="str">
        <f>_xll.BLUEMATRIX2("/servlet/excelData",E259,$B$1,$B259&amp;":"&amp;E$115&amp;":"&amp;$R$114)</f>
        <v>#</v>
      </c>
      <c r="T259" s="82" t="str">
        <f>_xll.BLUEMATRIX2("/servlet/excelData",F259,$B$1,$B259&amp;":"&amp;F$115&amp;":"&amp;$R$114)</f>
        <v>#</v>
      </c>
      <c r="U259" s="82" t="str">
        <f>_xll.BLUEMATRIX2("/servlet/excelData",G259,$B$1,$B259&amp;":"&amp;G$115&amp;":"&amp;$R$114)</f>
        <v>#</v>
      </c>
      <c r="V259" s="82" t="str">
        <f>_xll.BLUEMATRIX2("/servlet/excelData",H259,$B$1,$B259&amp;":"&amp;H$115&amp;":"&amp;$R$114)</f>
        <v>#</v>
      </c>
      <c r="W259" s="82" t="str">
        <f>_xll.BLUEMATRIX2("/servlet/excelData",I259,$B$1,$B259&amp;":"&amp;I$115&amp;":"&amp;$R$114)</f>
        <v>#</v>
      </c>
      <c r="X259" s="82" t="str">
        <f>_xll.BLUEMATRIX2("/servlet/excelData",J259,$B$1,$B259&amp;":"&amp;J$115&amp;":"&amp;$R$114)</f>
        <v>#</v>
      </c>
      <c r="Y259" s="82" t="str">
        <f>_xll.BLUEMATRIX2("/servlet/excelData",K259,$B$1,$B259&amp;":"&amp;K$115&amp;":"&amp;$R$114)</f>
        <v>#</v>
      </c>
      <c r="Z259" s="82" t="str">
        <f>_xll.BLUEMATRIX2("/servlet/excelData",L259,$B$1,$B259&amp;":"&amp;L$115&amp;":"&amp;$R$114)</f>
        <v>#</v>
      </c>
      <c r="AA259" s="82" t="str">
        <f>_xll.BLUEMATRIX2("/servlet/excelData",M259,$B$1,$B259&amp;":"&amp;M$115&amp;":"&amp;$R$114)</f>
        <v>#</v>
      </c>
      <c r="AB259" s="82" t="str">
        <f>_xll.BLUEMATRIX2("/servlet/excelData",N259,$B$1,$B259&amp;":"&amp;N$115&amp;":"&amp;$R$114)</f>
        <v>#</v>
      </c>
      <c r="AC259" s="82" t="str">
        <f>_xll.BLUEMATRIX2("/servlet/excelData",O259,$B$1,$B259&amp;":"&amp;O$115&amp;":"&amp;$R$114)</f>
        <v>#</v>
      </c>
      <c r="AD259" s="82" t="str">
        <f>_xll.BLUEMATRIX2("/servlet/excelData",P259,$B$1,$B259&amp;":"&amp;P$115&amp;":"&amp;$R$114)</f>
        <v>#</v>
      </c>
      <c r="AE259" s="82" t="str">
        <f>_xll.BLUEMATRIX2("/servlet/excelData",Q259,$B$1,$B259&amp;":"&amp;Q$115&amp;":"&amp;$R$114)</f>
        <v>#</v>
      </c>
    </row>
    <row r="260" spans="1:31" ht="12.95" customHeight="1" x14ac:dyDescent="0.2">
      <c r="A260" s="26" t="s">
        <v>911</v>
      </c>
      <c r="B260" s="29" t="s">
        <v>912</v>
      </c>
      <c r="C260" s="159" t="s">
        <v>913</v>
      </c>
      <c r="D260" s="111"/>
      <c r="E260" s="488"/>
      <c r="F260" s="483"/>
      <c r="G260" s="483"/>
      <c r="H260" s="483"/>
      <c r="I260" s="483"/>
      <c r="J260" s="483"/>
      <c r="K260" s="483"/>
      <c r="L260" s="483"/>
      <c r="M260" s="483"/>
      <c r="N260" s="483"/>
      <c r="O260" s="483"/>
      <c r="P260" s="483"/>
      <c r="Q260" s="483"/>
      <c r="R260" s="1"/>
      <c r="S260" s="82" t="str">
        <f>_xll.BLUEMATRIX2("/servlet/excelData",E260,$B$1,$B260&amp;":"&amp;E$115&amp;":"&amp;$R$114)</f>
        <v>#</v>
      </c>
      <c r="T260" s="82" t="str">
        <f>_xll.BLUEMATRIX2("/servlet/excelData",F260,$B$1,$B260&amp;":"&amp;F$115&amp;":"&amp;$R$114)</f>
        <v>#</v>
      </c>
      <c r="U260" s="82" t="str">
        <f>_xll.BLUEMATRIX2("/servlet/excelData",G260,$B$1,$B260&amp;":"&amp;G$115&amp;":"&amp;$R$114)</f>
        <v>#</v>
      </c>
      <c r="V260" s="82" t="str">
        <f>_xll.BLUEMATRIX2("/servlet/excelData",H260,$B$1,$B260&amp;":"&amp;H$115&amp;":"&amp;$R$114)</f>
        <v>#</v>
      </c>
      <c r="W260" s="82" t="str">
        <f>_xll.BLUEMATRIX2("/servlet/excelData",I260,$B$1,$B260&amp;":"&amp;I$115&amp;":"&amp;$R$114)</f>
        <v>#</v>
      </c>
      <c r="X260" s="82" t="str">
        <f>_xll.BLUEMATRIX2("/servlet/excelData",J260,$B$1,$B260&amp;":"&amp;J$115&amp;":"&amp;$R$114)</f>
        <v>#</v>
      </c>
      <c r="Y260" s="82" t="str">
        <f>_xll.BLUEMATRIX2("/servlet/excelData",K260,$B$1,$B260&amp;":"&amp;K$115&amp;":"&amp;$R$114)</f>
        <v>#</v>
      </c>
      <c r="Z260" s="82" t="str">
        <f>_xll.BLUEMATRIX2("/servlet/excelData",L260,$B$1,$B260&amp;":"&amp;L$115&amp;":"&amp;$R$114)</f>
        <v>#</v>
      </c>
      <c r="AA260" s="82" t="str">
        <f>_xll.BLUEMATRIX2("/servlet/excelData",M260,$B$1,$B260&amp;":"&amp;M$115&amp;":"&amp;$R$114)</f>
        <v>#</v>
      </c>
      <c r="AB260" s="82" t="str">
        <f>_xll.BLUEMATRIX2("/servlet/excelData",N260,$B$1,$B260&amp;":"&amp;N$115&amp;":"&amp;$R$114)</f>
        <v>#</v>
      </c>
      <c r="AC260" s="82" t="str">
        <f>_xll.BLUEMATRIX2("/servlet/excelData",O260,$B$1,$B260&amp;":"&amp;O$115&amp;":"&amp;$R$114)</f>
        <v>#</v>
      </c>
      <c r="AD260" s="82" t="str">
        <f>_xll.BLUEMATRIX2("/servlet/excelData",P260,$B$1,$B260&amp;":"&amp;P$115&amp;":"&amp;$R$114)</f>
        <v>#</v>
      </c>
      <c r="AE260" s="82" t="str">
        <f>_xll.BLUEMATRIX2("/servlet/excelData",Q260,$B$1,$B260&amp;":"&amp;Q$115&amp;":"&amp;$R$114)</f>
        <v>#</v>
      </c>
    </row>
    <row r="261" spans="1:31" ht="12.95" customHeight="1" x14ac:dyDescent="0.2">
      <c r="A261" s="26" t="s">
        <v>914</v>
      </c>
      <c r="B261" s="29" t="s">
        <v>915</v>
      </c>
      <c r="C261" s="159" t="s">
        <v>916</v>
      </c>
      <c r="D261" s="111"/>
      <c r="E261" s="483"/>
      <c r="F261" s="483">
        <f>FY!F159</f>
        <v>0</v>
      </c>
      <c r="G261" s="483">
        <f>FY!G159</f>
        <v>0</v>
      </c>
      <c r="H261" s="483">
        <f>FY!H159</f>
        <v>8.4</v>
      </c>
      <c r="I261" s="483">
        <f>FY!I159</f>
        <v>0</v>
      </c>
      <c r="J261" s="483">
        <f>FY!J159</f>
        <v>0</v>
      </c>
      <c r="K261" s="483">
        <f>FY!K159</f>
        <v>0</v>
      </c>
      <c r="L261" s="483">
        <f>FY!L159</f>
        <v>0</v>
      </c>
      <c r="M261" s="483">
        <f>FY!M159</f>
        <v>0</v>
      </c>
      <c r="N261" s="483">
        <f>FY!N159</f>
        <v>0</v>
      </c>
      <c r="O261" s="483">
        <f>FY!O159</f>
        <v>0</v>
      </c>
      <c r="P261" s="483">
        <f>FY!P159</f>
        <v>0</v>
      </c>
      <c r="Q261" s="483">
        <f>FY!Q159</f>
        <v>0</v>
      </c>
      <c r="R261" s="1"/>
      <c r="S261" s="82" t="str">
        <f>_xll.BLUEMATRIX2("/servlet/excelData",E261,$B$1,$B261&amp;":"&amp;E$115&amp;":"&amp;$R$114)</f>
        <v>#</v>
      </c>
      <c r="T261" s="82" t="str">
        <f>_xll.BLUEMATRIX2("/servlet/excelData",F261,$B$1,$B261&amp;":"&amp;F$115&amp;":"&amp;$R$114)</f>
        <v>#</v>
      </c>
      <c r="U261" s="82" t="str">
        <f>_xll.BLUEMATRIX2("/servlet/excelData",G261,$B$1,$B261&amp;":"&amp;G$115&amp;":"&amp;$R$114)</f>
        <v>#</v>
      </c>
      <c r="V261" s="82" t="str">
        <f>_xll.BLUEMATRIX2("/servlet/excelData",H261,$B$1,$B261&amp;":"&amp;H$115&amp;":"&amp;$R$114)</f>
        <v>#</v>
      </c>
      <c r="W261" s="82" t="str">
        <f>_xll.BLUEMATRIX2("/servlet/excelData",I261,$B$1,$B261&amp;":"&amp;I$115&amp;":"&amp;$R$114)</f>
        <v>#</v>
      </c>
      <c r="X261" s="82" t="str">
        <f>_xll.BLUEMATRIX2("/servlet/excelData",J261,$B$1,$B261&amp;":"&amp;J$115&amp;":"&amp;$R$114)</f>
        <v>#</v>
      </c>
      <c r="Y261" s="82" t="str">
        <f>_xll.BLUEMATRIX2("/servlet/excelData",K261,$B$1,$B261&amp;":"&amp;K$115&amp;":"&amp;$R$114)</f>
        <v>#</v>
      </c>
      <c r="Z261" s="82" t="str">
        <f>_xll.BLUEMATRIX2("/servlet/excelData",L261,$B$1,$B261&amp;":"&amp;L$115&amp;":"&amp;$R$114)</f>
        <v>#</v>
      </c>
      <c r="AA261" s="82" t="str">
        <f>_xll.BLUEMATRIX2("/servlet/excelData",M261,$B$1,$B261&amp;":"&amp;M$115&amp;":"&amp;$R$114)</f>
        <v>#</v>
      </c>
      <c r="AB261" s="82" t="str">
        <f>_xll.BLUEMATRIX2("/servlet/excelData",N261,$B$1,$B261&amp;":"&amp;N$115&amp;":"&amp;$R$114)</f>
        <v>#</v>
      </c>
      <c r="AC261" s="82" t="str">
        <f>_xll.BLUEMATRIX2("/servlet/excelData",O261,$B$1,$B261&amp;":"&amp;O$115&amp;":"&amp;$R$114)</f>
        <v>#</v>
      </c>
      <c r="AD261" s="82" t="str">
        <f>_xll.BLUEMATRIX2("/servlet/excelData",P261,$B$1,$B261&amp;":"&amp;P$115&amp;":"&amp;$R$114)</f>
        <v>#</v>
      </c>
      <c r="AE261" s="82" t="str">
        <f>_xll.BLUEMATRIX2("/servlet/excelData",Q261,$B$1,$B261&amp;":"&amp;Q$115&amp;":"&amp;$R$114)</f>
        <v>#</v>
      </c>
    </row>
    <row r="262" spans="1:31" ht="12.95" customHeight="1" x14ac:dyDescent="0.2">
      <c r="A262" s="26" t="s">
        <v>917</v>
      </c>
      <c r="B262" s="29" t="s">
        <v>918</v>
      </c>
      <c r="C262" s="135" t="s">
        <v>919</v>
      </c>
      <c r="D262" s="114"/>
      <c r="E262" s="114"/>
      <c r="F262" s="114">
        <f t="shared" ref="F262:G262" si="38">F256+F257+F258+F259+F260+F261</f>
        <v>0</v>
      </c>
      <c r="G262" s="114">
        <f t="shared" si="38"/>
        <v>-3.3</v>
      </c>
      <c r="H262" s="114">
        <f>H256+H257+H258+H259+H260+H261+H254+H255</f>
        <v>-69.8</v>
      </c>
      <c r="I262" s="114">
        <f t="shared" ref="I262:Q262" si="39">I256+I257+I258+I259+I260+I261+I254+I255</f>
        <v>-9</v>
      </c>
      <c r="J262" s="114">
        <f t="shared" si="39"/>
        <v>-10.021676216280451</v>
      </c>
      <c r="K262" s="114">
        <f t="shared" si="39"/>
        <v>-10.522760027094474</v>
      </c>
      <c r="L262" s="114">
        <f t="shared" si="39"/>
        <v>-11.048898028449198</v>
      </c>
      <c r="M262" s="114">
        <f t="shared" si="39"/>
        <v>-10.611445734225004</v>
      </c>
      <c r="N262" s="114">
        <f t="shared" si="39"/>
        <v>-11.142018020936252</v>
      </c>
      <c r="O262" s="114">
        <f t="shared" si="39"/>
        <v>-11.699118921983068</v>
      </c>
      <c r="P262" s="114">
        <f t="shared" si="39"/>
        <v>-12.28407486808222</v>
      </c>
      <c r="Q262" s="114">
        <f t="shared" si="39"/>
        <v>-12.898278611486329</v>
      </c>
      <c r="R262" s="112"/>
      <c r="S262" s="82" t="str">
        <f>_xll.BLUEMATRIX2("/servlet/excelData",E262,$B$1,$B262&amp;":"&amp;E$115&amp;":"&amp;$R$114)</f>
        <v>#</v>
      </c>
      <c r="T262" s="82" t="str">
        <f>_xll.BLUEMATRIX2("/servlet/excelData",F262,$B$1,$B262&amp;":"&amp;F$115&amp;":"&amp;$R$114)</f>
        <v>#</v>
      </c>
      <c r="U262" s="82" t="str">
        <f>_xll.BLUEMATRIX2("/servlet/excelData",G262,$B$1,$B262&amp;":"&amp;G$115&amp;":"&amp;$R$114)</f>
        <v>#</v>
      </c>
      <c r="V262" s="82" t="str">
        <f>_xll.BLUEMATRIX2("/servlet/excelData",H262,$B$1,$B262&amp;":"&amp;H$115&amp;":"&amp;$R$114)</f>
        <v>#</v>
      </c>
      <c r="W262" s="82" t="str">
        <f>_xll.BLUEMATRIX2("/servlet/excelData",I262,$B$1,$B262&amp;":"&amp;I$115&amp;":"&amp;$R$114)</f>
        <v>#</v>
      </c>
      <c r="X262" s="82" t="str">
        <f>_xll.BLUEMATRIX2("/servlet/excelData",J262,$B$1,$B262&amp;":"&amp;J$115&amp;":"&amp;$R$114)</f>
        <v>#</v>
      </c>
      <c r="Y262" s="82" t="str">
        <f>_xll.BLUEMATRIX2("/servlet/excelData",K262,$B$1,$B262&amp;":"&amp;K$115&amp;":"&amp;$R$114)</f>
        <v>#</v>
      </c>
      <c r="Z262" s="82" t="str">
        <f>_xll.BLUEMATRIX2("/servlet/excelData",L262,$B$1,$B262&amp;":"&amp;L$115&amp;":"&amp;$R$114)</f>
        <v>#</v>
      </c>
      <c r="AA262" s="82" t="str">
        <f>_xll.BLUEMATRIX2("/servlet/excelData",M262,$B$1,$B262&amp;":"&amp;M$115&amp;":"&amp;$R$114)</f>
        <v>#</v>
      </c>
      <c r="AB262" s="82" t="str">
        <f>_xll.BLUEMATRIX2("/servlet/excelData",N262,$B$1,$B262&amp;":"&amp;N$115&amp;":"&amp;$R$114)</f>
        <v>#</v>
      </c>
      <c r="AC262" s="82" t="str">
        <f>_xll.BLUEMATRIX2("/servlet/excelData",O262,$B$1,$B262&amp;":"&amp;O$115&amp;":"&amp;$R$114)</f>
        <v>#</v>
      </c>
      <c r="AD262" s="82" t="str">
        <f>_xll.BLUEMATRIX2("/servlet/excelData",P262,$B$1,$B262&amp;":"&amp;P$115&amp;":"&amp;$R$114)</f>
        <v>#</v>
      </c>
      <c r="AE262" s="82" t="str">
        <f>_xll.BLUEMATRIX2("/servlet/excelData",Q262,$B$1,$B262&amp;":"&amp;Q$115&amp;":"&amp;$R$114)</f>
        <v>#</v>
      </c>
    </row>
    <row r="263" spans="1:31" ht="12.95" customHeight="1" x14ac:dyDescent="0.2">
      <c r="A263" s="26"/>
      <c r="B263" s="29"/>
      <c r="C263" s="121" t="s">
        <v>920</v>
      </c>
      <c r="D263" s="122"/>
      <c r="E263" s="486"/>
      <c r="F263" s="486">
        <f>ROUND(FY!F161-F262,2)</f>
        <v>0</v>
      </c>
      <c r="G263" s="486">
        <f>ROUND(FY!G161-G262,2)</f>
        <v>0</v>
      </c>
      <c r="H263" s="486">
        <f>ROUND(FY!H161-H262,2)</f>
        <v>0</v>
      </c>
      <c r="I263" s="486">
        <f>ROUND(FY!I161-I262,2)</f>
        <v>0</v>
      </c>
      <c r="J263" s="486">
        <f>ROUND(FY!J161-J262,2)</f>
        <v>0</v>
      </c>
      <c r="K263" s="486">
        <f>ROUND(FY!K161-K262,2)</f>
        <v>0</v>
      </c>
      <c r="L263" s="486">
        <f>ROUND(FY!L161-L262,2)</f>
        <v>0</v>
      </c>
      <c r="M263" s="486">
        <f>ROUND(FY!M161-M262,2)</f>
        <v>0</v>
      </c>
      <c r="N263" s="486">
        <f>ROUND(FY!N161-N262,2)</f>
        <v>0</v>
      </c>
      <c r="O263" s="486">
        <f>ROUND(FY!O161-O262,2)</f>
        <v>0</v>
      </c>
      <c r="P263" s="486">
        <f>ROUND(FY!P161-P262,2)</f>
        <v>0</v>
      </c>
      <c r="Q263" s="486">
        <f>ROUND(FY!Q161-Q262,2)</f>
        <v>0</v>
      </c>
      <c r="R263" s="1"/>
      <c r="S263" s="82"/>
      <c r="T263" s="82"/>
      <c r="U263" s="82"/>
      <c r="V263" s="82"/>
      <c r="W263" s="82"/>
      <c r="X263" s="82"/>
      <c r="Y263" s="82"/>
      <c r="Z263" s="82"/>
      <c r="AA263" s="82"/>
      <c r="AB263" s="82"/>
      <c r="AC263" s="82"/>
      <c r="AD263" s="82"/>
      <c r="AE263" s="82"/>
    </row>
    <row r="264" spans="1:31" ht="12.95" customHeight="1" x14ac:dyDescent="0.2">
      <c r="A264" s="26"/>
      <c r="B264" s="29"/>
      <c r="C264" s="162"/>
      <c r="D264" s="144"/>
      <c r="E264" s="144"/>
      <c r="F264" s="144"/>
      <c r="G264" s="144"/>
      <c r="H264" s="144"/>
      <c r="I264" s="144"/>
      <c r="J264" s="144"/>
      <c r="K264" s="144"/>
      <c r="L264" s="144"/>
      <c r="M264" s="144"/>
      <c r="N264" s="144"/>
      <c r="O264" s="144"/>
      <c r="P264" s="144"/>
      <c r="Q264" s="144"/>
      <c r="R264" s="1"/>
      <c r="S264" s="82"/>
      <c r="T264" s="82"/>
      <c r="U264" s="82"/>
      <c r="V264" s="82"/>
      <c r="W264" s="82"/>
      <c r="X264" s="82"/>
      <c r="Y264" s="82"/>
      <c r="Z264" s="82"/>
      <c r="AA264" s="82"/>
      <c r="AB264" s="82"/>
      <c r="AC264" s="82"/>
      <c r="AD264" s="82"/>
      <c r="AE264" s="82"/>
    </row>
    <row r="265" spans="1:31" ht="12.95" customHeight="1" x14ac:dyDescent="0.2">
      <c r="A265" s="26"/>
      <c r="B265" s="29"/>
      <c r="C265" s="157" t="s">
        <v>921</v>
      </c>
      <c r="D265" s="147"/>
      <c r="E265" s="147"/>
      <c r="F265" s="147"/>
      <c r="G265" s="147"/>
      <c r="H265" s="147"/>
      <c r="I265" s="147"/>
      <c r="J265" s="147"/>
      <c r="K265" s="147"/>
      <c r="L265" s="147"/>
      <c r="M265" s="147"/>
      <c r="N265" s="147"/>
      <c r="O265" s="147"/>
      <c r="P265" s="147"/>
      <c r="Q265" s="147"/>
      <c r="R265" s="1"/>
      <c r="S265" s="82"/>
      <c r="T265" s="82"/>
      <c r="U265" s="82"/>
      <c r="V265" s="82"/>
      <c r="W265" s="82"/>
      <c r="X265" s="82"/>
      <c r="Y265" s="82"/>
      <c r="Z265" s="82"/>
      <c r="AA265" s="82"/>
      <c r="AB265" s="82"/>
      <c r="AC265" s="82"/>
      <c r="AD265" s="82"/>
      <c r="AE265" s="82"/>
    </row>
    <row r="266" spans="1:31" ht="12.95" customHeight="1" x14ac:dyDescent="0.2">
      <c r="A266" s="26" t="s">
        <v>922</v>
      </c>
      <c r="B266" s="29" t="s">
        <v>923</v>
      </c>
      <c r="C266" s="159" t="s">
        <v>924</v>
      </c>
      <c r="D266" s="111"/>
      <c r="E266" s="483"/>
      <c r="F266" s="483">
        <f>FY!F165+FY!F166</f>
        <v>0</v>
      </c>
      <c r="G266" s="483">
        <f>FY!G165+FY!G166</f>
        <v>19.2</v>
      </c>
      <c r="H266" s="483">
        <f>FY!H165+FY!H166</f>
        <v>129.4</v>
      </c>
      <c r="I266" s="483">
        <f>FY!I165+FY!I166</f>
        <v>-41.3</v>
      </c>
      <c r="J266" s="483">
        <f>FY!J165+FY!J166</f>
        <v>0</v>
      </c>
      <c r="K266" s="483">
        <f>FY!K165+FY!K166</f>
        <v>0</v>
      </c>
      <c r="L266" s="483">
        <f>FY!L165+FY!L166</f>
        <v>0</v>
      </c>
      <c r="M266" s="483">
        <f>FY!M165+FY!M166</f>
        <v>0</v>
      </c>
      <c r="N266" s="483">
        <f>FY!N165+FY!N166</f>
        <v>0</v>
      </c>
      <c r="O266" s="483">
        <f>FY!O165+FY!O166</f>
        <v>0</v>
      </c>
      <c r="P266" s="483">
        <f>FY!P165+FY!P166</f>
        <v>0</v>
      </c>
      <c r="Q266" s="483">
        <f>FY!Q165+FY!Q166</f>
        <v>0</v>
      </c>
      <c r="R266" s="1"/>
      <c r="S266" s="82" t="str">
        <f>_xll.BLUEMATRIX2("/servlet/excelData",E266,$B$1,$B266&amp;":"&amp;E$115&amp;":"&amp;$R$114)</f>
        <v>#</v>
      </c>
      <c r="T266" s="82" t="str">
        <f>_xll.BLUEMATRIX2("/servlet/excelData",F266,$B$1,$B266&amp;":"&amp;F$115&amp;":"&amp;$R$114)</f>
        <v>#</v>
      </c>
      <c r="U266" s="82" t="str">
        <f>_xll.BLUEMATRIX2("/servlet/excelData",G266,$B$1,$B266&amp;":"&amp;G$115&amp;":"&amp;$R$114)</f>
        <v>#</v>
      </c>
      <c r="V266" s="82" t="str">
        <f>_xll.BLUEMATRIX2("/servlet/excelData",H266,$B$1,$B266&amp;":"&amp;H$115&amp;":"&amp;$R$114)</f>
        <v>#</v>
      </c>
      <c r="W266" s="82" t="str">
        <f>_xll.BLUEMATRIX2("/servlet/excelData",I266,$B$1,$B266&amp;":"&amp;I$115&amp;":"&amp;$R$114)</f>
        <v>#</v>
      </c>
      <c r="X266" s="82" t="str">
        <f>_xll.BLUEMATRIX2("/servlet/excelData",J266,$B$1,$B266&amp;":"&amp;J$115&amp;":"&amp;$R$114)</f>
        <v>#</v>
      </c>
      <c r="Y266" s="82" t="str">
        <f>_xll.BLUEMATRIX2("/servlet/excelData",K266,$B$1,$B266&amp;":"&amp;K$115&amp;":"&amp;$R$114)</f>
        <v>#</v>
      </c>
      <c r="Z266" s="82" t="str">
        <f>_xll.BLUEMATRIX2("/servlet/excelData",L266,$B$1,$B266&amp;":"&amp;L$115&amp;":"&amp;$R$114)</f>
        <v>#</v>
      </c>
      <c r="AA266" s="82" t="str">
        <f>_xll.BLUEMATRIX2("/servlet/excelData",M266,$B$1,$B266&amp;":"&amp;M$115&amp;":"&amp;$R$114)</f>
        <v>#</v>
      </c>
      <c r="AB266" s="82" t="str">
        <f>_xll.BLUEMATRIX2("/servlet/excelData",N266,$B$1,$B266&amp;":"&amp;N$115&amp;":"&amp;$R$114)</f>
        <v>#</v>
      </c>
      <c r="AC266" s="82" t="str">
        <f>_xll.BLUEMATRIX2("/servlet/excelData",O266,$B$1,$B266&amp;":"&amp;O$115&amp;":"&amp;$R$114)</f>
        <v>#</v>
      </c>
      <c r="AD266" s="82" t="str">
        <f>_xll.BLUEMATRIX2("/servlet/excelData",P266,$B$1,$B266&amp;":"&amp;P$115&amp;":"&amp;$R$114)</f>
        <v>#</v>
      </c>
      <c r="AE266" s="82" t="str">
        <f>_xll.BLUEMATRIX2("/servlet/excelData",Q266,$B$1,$B266&amp;":"&amp;Q$115&amp;":"&amp;$R$114)</f>
        <v>#</v>
      </c>
    </row>
    <row r="267" spans="1:31" ht="12.95" customHeight="1" x14ac:dyDescent="0.2">
      <c r="A267" s="26" t="s">
        <v>925</v>
      </c>
      <c r="B267" s="29" t="s">
        <v>926</v>
      </c>
      <c r="C267" s="159" t="s">
        <v>927</v>
      </c>
      <c r="D267" s="111"/>
      <c r="E267" s="483"/>
      <c r="F267" s="483">
        <f>FY!F164+FY!F163</f>
        <v>0</v>
      </c>
      <c r="G267" s="483">
        <f>FY!G164+FY!G163</f>
        <v>0</v>
      </c>
      <c r="H267" s="483">
        <f>FY!H164+FY!H163</f>
        <v>48.9</v>
      </c>
      <c r="I267" s="483">
        <f>FY!I164+FY!I163</f>
        <v>-0.1</v>
      </c>
      <c r="J267" s="483">
        <f>FY!J164+FY!J163</f>
        <v>0</v>
      </c>
      <c r="K267" s="483">
        <f>FY!K164+FY!K163</f>
        <v>0</v>
      </c>
      <c r="L267" s="483">
        <f>FY!L164+FY!L163</f>
        <v>0</v>
      </c>
      <c r="M267" s="483">
        <f>FY!M164+FY!M163</f>
        <v>0</v>
      </c>
      <c r="N267" s="483">
        <f>FY!N164+FY!N163</f>
        <v>0</v>
      </c>
      <c r="O267" s="483">
        <f>FY!O164+FY!O163</f>
        <v>0</v>
      </c>
      <c r="P267" s="483">
        <f>FY!P164+FY!P163</f>
        <v>0</v>
      </c>
      <c r="Q267" s="483">
        <f>FY!Q164+FY!Q163</f>
        <v>0</v>
      </c>
      <c r="R267" s="1"/>
      <c r="S267" s="82" t="str">
        <f>_xll.BLUEMATRIX2("/servlet/excelData",E267,$B$1,$B267&amp;":"&amp;E$115&amp;":"&amp;$R$114)</f>
        <v>#</v>
      </c>
      <c r="T267" s="82" t="str">
        <f>_xll.BLUEMATRIX2("/servlet/excelData",F267,$B$1,$B267&amp;":"&amp;F$115&amp;":"&amp;$R$114)</f>
        <v>#</v>
      </c>
      <c r="U267" s="82" t="str">
        <f>_xll.BLUEMATRIX2("/servlet/excelData",G267,$B$1,$B267&amp;":"&amp;G$115&amp;":"&amp;$R$114)</f>
        <v>#</v>
      </c>
      <c r="V267" s="82" t="str">
        <f>_xll.BLUEMATRIX2("/servlet/excelData",H267,$B$1,$B267&amp;":"&amp;H$115&amp;":"&amp;$R$114)</f>
        <v>#</v>
      </c>
      <c r="W267" s="82" t="str">
        <f>_xll.BLUEMATRIX2("/servlet/excelData",I267,$B$1,$B267&amp;":"&amp;I$115&amp;":"&amp;$R$114)</f>
        <v>#</v>
      </c>
      <c r="X267" s="82" t="str">
        <f>_xll.BLUEMATRIX2("/servlet/excelData",J267,$B$1,$B267&amp;":"&amp;J$115&amp;":"&amp;$R$114)</f>
        <v>#</v>
      </c>
      <c r="Y267" s="82" t="str">
        <f>_xll.BLUEMATRIX2("/servlet/excelData",K267,$B$1,$B267&amp;":"&amp;K$115&amp;":"&amp;$R$114)</f>
        <v>#</v>
      </c>
      <c r="Z267" s="82" t="str">
        <f>_xll.BLUEMATRIX2("/servlet/excelData",L267,$B$1,$B267&amp;":"&amp;L$115&amp;":"&amp;$R$114)</f>
        <v>#</v>
      </c>
      <c r="AA267" s="82" t="str">
        <f>_xll.BLUEMATRIX2("/servlet/excelData",M267,$B$1,$B267&amp;":"&amp;M$115&amp;":"&amp;$R$114)</f>
        <v>#</v>
      </c>
      <c r="AB267" s="82" t="str">
        <f>_xll.BLUEMATRIX2("/servlet/excelData",N267,$B$1,$B267&amp;":"&amp;N$115&amp;":"&amp;$R$114)</f>
        <v>#</v>
      </c>
      <c r="AC267" s="82" t="str">
        <f>_xll.BLUEMATRIX2("/servlet/excelData",O267,$B$1,$B267&amp;":"&amp;O$115&amp;":"&amp;$R$114)</f>
        <v>#</v>
      </c>
      <c r="AD267" s="82" t="str">
        <f>_xll.BLUEMATRIX2("/servlet/excelData",P267,$B$1,$B267&amp;":"&amp;P$115&amp;":"&amp;$R$114)</f>
        <v>#</v>
      </c>
      <c r="AE267" s="82" t="str">
        <f>_xll.BLUEMATRIX2("/servlet/excelData",Q267,$B$1,$B267&amp;":"&amp;Q$115&amp;":"&amp;$R$114)</f>
        <v>#</v>
      </c>
    </row>
    <row r="268" spans="1:31" ht="12.95" customHeight="1" x14ac:dyDescent="0.2">
      <c r="A268" s="26" t="s">
        <v>928</v>
      </c>
      <c r="B268" s="29" t="s">
        <v>929</v>
      </c>
      <c r="C268" s="158" t="s">
        <v>930</v>
      </c>
      <c r="D268" s="111"/>
      <c r="E268" s="483"/>
      <c r="F268" s="483"/>
      <c r="G268" s="483"/>
      <c r="H268" s="483"/>
      <c r="I268" s="483"/>
      <c r="J268" s="483"/>
      <c r="K268" s="483"/>
      <c r="L268" s="483"/>
      <c r="M268" s="483"/>
      <c r="N268" s="483"/>
      <c r="O268" s="483"/>
      <c r="P268" s="483"/>
      <c r="Q268" s="483"/>
      <c r="R268" s="1"/>
      <c r="S268" s="82" t="str">
        <f>_xll.BLUEMATRIX2("/servlet/excelData",E268,$B$1,$B268&amp;":"&amp;E$115&amp;":"&amp;$R$114)</f>
        <v>#</v>
      </c>
      <c r="T268" s="82" t="str">
        <f>_xll.BLUEMATRIX2("/servlet/excelData",F268,$B$1,$B268&amp;":"&amp;F$115&amp;":"&amp;$R$114)</f>
        <v>#</v>
      </c>
      <c r="U268" s="82" t="str">
        <f>_xll.BLUEMATRIX2("/servlet/excelData",G268,$B$1,$B268&amp;":"&amp;G$115&amp;":"&amp;$R$114)</f>
        <v>#</v>
      </c>
      <c r="V268" s="82" t="str">
        <f>_xll.BLUEMATRIX2("/servlet/excelData",H268,$B$1,$B268&amp;":"&amp;H$115&amp;":"&amp;$R$114)</f>
        <v>#</v>
      </c>
      <c r="W268" s="82" t="str">
        <f>_xll.BLUEMATRIX2("/servlet/excelData",I268,$B$1,$B268&amp;":"&amp;I$115&amp;":"&amp;$R$114)</f>
        <v>#</v>
      </c>
      <c r="X268" s="82" t="str">
        <f>_xll.BLUEMATRIX2("/servlet/excelData",J268,$B$1,$B268&amp;":"&amp;J$115&amp;":"&amp;$R$114)</f>
        <v>#</v>
      </c>
      <c r="Y268" s="82" t="str">
        <f>_xll.BLUEMATRIX2("/servlet/excelData",K268,$B$1,$B268&amp;":"&amp;K$115&amp;":"&amp;$R$114)</f>
        <v>#</v>
      </c>
      <c r="Z268" s="82" t="str">
        <f>_xll.BLUEMATRIX2("/servlet/excelData",L268,$B$1,$B268&amp;":"&amp;L$115&amp;":"&amp;$R$114)</f>
        <v>#</v>
      </c>
      <c r="AA268" s="82" t="str">
        <f>_xll.BLUEMATRIX2("/servlet/excelData",M268,$B$1,$B268&amp;":"&amp;M$115&amp;":"&amp;$R$114)</f>
        <v>#</v>
      </c>
      <c r="AB268" s="82" t="str">
        <f>_xll.BLUEMATRIX2("/servlet/excelData",N268,$B$1,$B268&amp;":"&amp;N$115&amp;":"&amp;$R$114)</f>
        <v>#</v>
      </c>
      <c r="AC268" s="82" t="str">
        <f>_xll.BLUEMATRIX2("/servlet/excelData",O268,$B$1,$B268&amp;":"&amp;O$115&amp;":"&amp;$R$114)</f>
        <v>#</v>
      </c>
      <c r="AD268" s="82" t="str">
        <f>_xll.BLUEMATRIX2("/servlet/excelData",P268,$B$1,$B268&amp;":"&amp;P$115&amp;":"&amp;$R$114)</f>
        <v>#</v>
      </c>
      <c r="AE268" s="82" t="str">
        <f>_xll.BLUEMATRIX2("/servlet/excelData",Q268,$B$1,$B268&amp;":"&amp;Q$115&amp;":"&amp;$R$114)</f>
        <v>#</v>
      </c>
    </row>
    <row r="269" spans="1:31" ht="12.95" customHeight="1" x14ac:dyDescent="0.2">
      <c r="A269" s="26" t="s">
        <v>931</v>
      </c>
      <c r="B269" s="29" t="s">
        <v>932</v>
      </c>
      <c r="C269" s="159" t="s">
        <v>933</v>
      </c>
      <c r="D269" s="111"/>
      <c r="E269" s="483"/>
      <c r="F269" s="483">
        <f>FY!F167</f>
        <v>0</v>
      </c>
      <c r="G269" s="483">
        <f>FY!G167</f>
        <v>0</v>
      </c>
      <c r="H269" s="483">
        <f>FY!H167</f>
        <v>0</v>
      </c>
      <c r="I269" s="483">
        <f>FY!I167</f>
        <v>0</v>
      </c>
      <c r="J269" s="483">
        <f>FY!J167</f>
        <v>0</v>
      </c>
      <c r="K269" s="483">
        <f>FY!K167</f>
        <v>0</v>
      </c>
      <c r="L269" s="483">
        <f>FY!L167</f>
        <v>0</v>
      </c>
      <c r="M269" s="483">
        <f>FY!M167</f>
        <v>0</v>
      </c>
      <c r="N269" s="483">
        <f>FY!N167</f>
        <v>0</v>
      </c>
      <c r="O269" s="483">
        <f>FY!O167</f>
        <v>0</v>
      </c>
      <c r="P269" s="483">
        <f>FY!P167</f>
        <v>0</v>
      </c>
      <c r="Q269" s="483">
        <f>FY!Q167</f>
        <v>0</v>
      </c>
      <c r="R269" s="1"/>
      <c r="S269" s="82" t="str">
        <f>_xll.BLUEMATRIX2("/servlet/excelData",E269,$B$1,$B269&amp;":"&amp;E$115&amp;":"&amp;$R$114)</f>
        <v>#</v>
      </c>
      <c r="T269" s="82" t="str">
        <f>_xll.BLUEMATRIX2("/servlet/excelData",F269,$B$1,$B269&amp;":"&amp;F$115&amp;":"&amp;$R$114)</f>
        <v>#</v>
      </c>
      <c r="U269" s="82" t="str">
        <f>_xll.BLUEMATRIX2("/servlet/excelData",G269,$B$1,$B269&amp;":"&amp;G$115&amp;":"&amp;$R$114)</f>
        <v>#</v>
      </c>
      <c r="V269" s="82" t="str">
        <f>_xll.BLUEMATRIX2("/servlet/excelData",H269,$B$1,$B269&amp;":"&amp;H$115&amp;":"&amp;$R$114)</f>
        <v>#</v>
      </c>
      <c r="W269" s="82" t="str">
        <f>_xll.BLUEMATRIX2("/servlet/excelData",I269,$B$1,$B269&amp;":"&amp;I$115&amp;":"&amp;$R$114)</f>
        <v>#</v>
      </c>
      <c r="X269" s="82" t="str">
        <f>_xll.BLUEMATRIX2("/servlet/excelData",J269,$B$1,$B269&amp;":"&amp;J$115&amp;":"&amp;$R$114)</f>
        <v>#</v>
      </c>
      <c r="Y269" s="82" t="str">
        <f>_xll.BLUEMATRIX2("/servlet/excelData",K269,$B$1,$B269&amp;":"&amp;K$115&amp;":"&amp;$R$114)</f>
        <v>#</v>
      </c>
      <c r="Z269" s="82" t="str">
        <f>_xll.BLUEMATRIX2("/servlet/excelData",L269,$B$1,$B269&amp;":"&amp;L$115&amp;":"&amp;$R$114)</f>
        <v>#</v>
      </c>
      <c r="AA269" s="82" t="str">
        <f>_xll.BLUEMATRIX2("/servlet/excelData",M269,$B$1,$B269&amp;":"&amp;M$115&amp;":"&amp;$R$114)</f>
        <v>#</v>
      </c>
      <c r="AB269" s="82" t="str">
        <f>_xll.BLUEMATRIX2("/servlet/excelData",N269,$B$1,$B269&amp;":"&amp;N$115&amp;":"&amp;$R$114)</f>
        <v>#</v>
      </c>
      <c r="AC269" s="82" t="str">
        <f>_xll.BLUEMATRIX2("/servlet/excelData",O269,$B$1,$B269&amp;":"&amp;O$115&amp;":"&amp;$R$114)</f>
        <v>#</v>
      </c>
      <c r="AD269" s="82" t="str">
        <f>_xll.BLUEMATRIX2("/servlet/excelData",P269,$B$1,$B269&amp;":"&amp;P$115&amp;":"&amp;$R$114)</f>
        <v>#</v>
      </c>
      <c r="AE269" s="82" t="str">
        <f>_xll.BLUEMATRIX2("/servlet/excelData",Q269,$B$1,$B269&amp;":"&amp;Q$115&amp;":"&amp;$R$114)</f>
        <v>#</v>
      </c>
    </row>
    <row r="270" spans="1:31" ht="12.95" customHeight="1" x14ac:dyDescent="0.2">
      <c r="A270" s="26" t="s">
        <v>934</v>
      </c>
      <c r="B270" s="29" t="s">
        <v>935</v>
      </c>
      <c r="C270" s="159" t="s">
        <v>936</v>
      </c>
      <c r="D270" s="111"/>
      <c r="E270" s="488"/>
      <c r="F270" s="488"/>
      <c r="G270" s="488"/>
      <c r="H270" s="488"/>
      <c r="I270" s="488"/>
      <c r="J270" s="488"/>
      <c r="K270" s="488"/>
      <c r="L270" s="488"/>
      <c r="M270" s="488"/>
      <c r="N270" s="488"/>
      <c r="O270" s="488"/>
      <c r="P270" s="488"/>
      <c r="Q270" s="488"/>
      <c r="R270" s="1"/>
      <c r="S270" s="82" t="str">
        <f>_xll.BLUEMATRIX2("/servlet/excelData",E270,$B$1,$B270&amp;":"&amp;E$115&amp;":"&amp;$R$114)</f>
        <v>#</v>
      </c>
      <c r="T270" s="82" t="str">
        <f>_xll.BLUEMATRIX2("/servlet/excelData",F270,$B$1,$B270&amp;":"&amp;F$115&amp;":"&amp;$R$114)</f>
        <v>#</v>
      </c>
      <c r="U270" s="82" t="str">
        <f>_xll.BLUEMATRIX2("/servlet/excelData",G270,$B$1,$B270&amp;":"&amp;G$115&amp;":"&amp;$R$114)</f>
        <v>#</v>
      </c>
      <c r="V270" s="82" t="str">
        <f>_xll.BLUEMATRIX2("/servlet/excelData",H270,$B$1,$B270&amp;":"&amp;H$115&amp;":"&amp;$R$114)</f>
        <v>#</v>
      </c>
      <c r="W270" s="82" t="str">
        <f>_xll.BLUEMATRIX2("/servlet/excelData",I270,$B$1,$B270&amp;":"&amp;I$115&amp;":"&amp;$R$114)</f>
        <v>#</v>
      </c>
      <c r="X270" s="82" t="str">
        <f>_xll.BLUEMATRIX2("/servlet/excelData",J270,$B$1,$B270&amp;":"&amp;J$115&amp;":"&amp;$R$114)</f>
        <v>#</v>
      </c>
      <c r="Y270" s="82" t="str">
        <f>_xll.BLUEMATRIX2("/servlet/excelData",K270,$B$1,$B270&amp;":"&amp;K$115&amp;":"&amp;$R$114)</f>
        <v>#</v>
      </c>
      <c r="Z270" s="82" t="str">
        <f>_xll.BLUEMATRIX2("/servlet/excelData",L270,$B$1,$B270&amp;":"&amp;L$115&amp;":"&amp;$R$114)</f>
        <v>#</v>
      </c>
      <c r="AA270" s="82" t="str">
        <f>_xll.BLUEMATRIX2("/servlet/excelData",M270,$B$1,$B270&amp;":"&amp;M$115&amp;":"&amp;$R$114)</f>
        <v>#</v>
      </c>
      <c r="AB270" s="82" t="str">
        <f>_xll.BLUEMATRIX2("/servlet/excelData",N270,$B$1,$B270&amp;":"&amp;N$115&amp;":"&amp;$R$114)</f>
        <v>#</v>
      </c>
      <c r="AC270" s="82" t="str">
        <f>_xll.BLUEMATRIX2("/servlet/excelData",O270,$B$1,$B270&amp;":"&amp;O$115&amp;":"&amp;$R$114)</f>
        <v>#</v>
      </c>
      <c r="AD270" s="82" t="str">
        <f>_xll.BLUEMATRIX2("/servlet/excelData",P270,$B$1,$B270&amp;":"&amp;P$115&amp;":"&amp;$R$114)</f>
        <v>#</v>
      </c>
      <c r="AE270" s="82" t="str">
        <f>_xll.BLUEMATRIX2("/servlet/excelData",Q270,$B$1,$B270&amp;":"&amp;Q$115&amp;":"&amp;$R$114)</f>
        <v>#</v>
      </c>
    </row>
    <row r="271" spans="1:31" ht="12.95" customHeight="1" x14ac:dyDescent="0.2">
      <c r="A271" s="26" t="s">
        <v>937</v>
      </c>
      <c r="B271" s="29" t="s">
        <v>938</v>
      </c>
      <c r="C271" s="159" t="s">
        <v>939</v>
      </c>
      <c r="D271" s="111"/>
      <c r="E271" s="483"/>
      <c r="F271" s="483">
        <f>FY!F168+FY!F169</f>
        <v>0</v>
      </c>
      <c r="G271" s="483">
        <f>FY!G168+FY!G169</f>
        <v>-1</v>
      </c>
      <c r="H271" s="483">
        <f>FY!H168+FY!H169</f>
        <v>-8.6</v>
      </c>
      <c r="I271" s="483">
        <f>FY!I168+FY!I169</f>
        <v>-1.2</v>
      </c>
      <c r="J271" s="483">
        <f>FY!J168+FY!J169</f>
        <v>0</v>
      </c>
      <c r="K271" s="483">
        <f>FY!K168+FY!K169</f>
        <v>0</v>
      </c>
      <c r="L271" s="483">
        <f>FY!L168+FY!L169</f>
        <v>0</v>
      </c>
      <c r="M271" s="483">
        <f>FY!M168+FY!M169</f>
        <v>0</v>
      </c>
      <c r="N271" s="483">
        <f>FY!N168+FY!N169</f>
        <v>0</v>
      </c>
      <c r="O271" s="483">
        <f>FY!O168+FY!O169</f>
        <v>0</v>
      </c>
      <c r="P271" s="483">
        <f>FY!P168+FY!P169</f>
        <v>0</v>
      </c>
      <c r="Q271" s="483">
        <f>FY!Q168+FY!Q169</f>
        <v>0</v>
      </c>
      <c r="R271" s="1"/>
      <c r="S271" s="82" t="str">
        <f>_xll.BLUEMATRIX2("/servlet/excelData",E271,$B$1,$B271&amp;":"&amp;E$115&amp;":"&amp;$R$114)</f>
        <v>#</v>
      </c>
      <c r="T271" s="82" t="str">
        <f>_xll.BLUEMATRIX2("/servlet/excelData",F271,$B$1,$B271&amp;":"&amp;F$115&amp;":"&amp;$R$114)</f>
        <v>#</v>
      </c>
      <c r="U271" s="82" t="str">
        <f>_xll.BLUEMATRIX2("/servlet/excelData",G271,$B$1,$B271&amp;":"&amp;G$115&amp;":"&amp;$R$114)</f>
        <v>#</v>
      </c>
      <c r="V271" s="82" t="str">
        <f>_xll.BLUEMATRIX2("/servlet/excelData",H271,$B$1,$B271&amp;":"&amp;H$115&amp;":"&amp;$R$114)</f>
        <v>#</v>
      </c>
      <c r="W271" s="82" t="str">
        <f>_xll.BLUEMATRIX2("/servlet/excelData",I271,$B$1,$B271&amp;":"&amp;I$115&amp;":"&amp;$R$114)</f>
        <v>#</v>
      </c>
      <c r="X271" s="82" t="str">
        <f>_xll.BLUEMATRIX2("/servlet/excelData",J271,$B$1,$B271&amp;":"&amp;J$115&amp;":"&amp;$R$114)</f>
        <v>#</v>
      </c>
      <c r="Y271" s="82" t="str">
        <f>_xll.BLUEMATRIX2("/servlet/excelData",K271,$B$1,$B271&amp;":"&amp;K$115&amp;":"&amp;$R$114)</f>
        <v>#</v>
      </c>
      <c r="Z271" s="82" t="str">
        <f>_xll.BLUEMATRIX2("/servlet/excelData",L271,$B$1,$B271&amp;":"&amp;L$115&amp;":"&amp;$R$114)</f>
        <v>#</v>
      </c>
      <c r="AA271" s="82" t="str">
        <f>_xll.BLUEMATRIX2("/servlet/excelData",M271,$B$1,$B271&amp;":"&amp;M$115&amp;":"&amp;$R$114)</f>
        <v>#</v>
      </c>
      <c r="AB271" s="82" t="str">
        <f>_xll.BLUEMATRIX2("/servlet/excelData",N271,$B$1,$B271&amp;":"&amp;N$115&amp;":"&amp;$R$114)</f>
        <v>#</v>
      </c>
      <c r="AC271" s="82" t="str">
        <f>_xll.BLUEMATRIX2("/servlet/excelData",O271,$B$1,$B271&amp;":"&amp;O$115&amp;":"&amp;$R$114)</f>
        <v>#</v>
      </c>
      <c r="AD271" s="82" t="str">
        <f>_xll.BLUEMATRIX2("/servlet/excelData",P271,$B$1,$B271&amp;":"&amp;P$115&amp;":"&amp;$R$114)</f>
        <v>#</v>
      </c>
      <c r="AE271" s="82" t="str">
        <f>_xll.BLUEMATRIX2("/servlet/excelData",Q271,$B$1,$B271&amp;":"&amp;Q$115&amp;":"&amp;$R$114)</f>
        <v>#</v>
      </c>
    </row>
    <row r="272" spans="1:31" ht="12.95" customHeight="1" x14ac:dyDescent="0.2">
      <c r="A272" s="26" t="s">
        <v>940</v>
      </c>
      <c r="B272" s="29" t="s">
        <v>941</v>
      </c>
      <c r="C272" s="135" t="s">
        <v>942</v>
      </c>
      <c r="D272" s="114"/>
      <c r="E272" s="114"/>
      <c r="F272" s="114">
        <f t="shared" ref="F272:Q272" si="40">F266+F267+F268+F269+F270+F271</f>
        <v>0</v>
      </c>
      <c r="G272" s="114">
        <f t="shared" si="40"/>
        <v>18.2</v>
      </c>
      <c r="H272" s="114">
        <f t="shared" si="40"/>
        <v>169.70000000000002</v>
      </c>
      <c r="I272" s="114">
        <f t="shared" si="40"/>
        <v>-42.6</v>
      </c>
      <c r="J272" s="114">
        <f t="shared" si="40"/>
        <v>0</v>
      </c>
      <c r="K272" s="114">
        <f t="shared" si="40"/>
        <v>0</v>
      </c>
      <c r="L272" s="114">
        <f t="shared" si="40"/>
        <v>0</v>
      </c>
      <c r="M272" s="114">
        <f t="shared" si="40"/>
        <v>0</v>
      </c>
      <c r="N272" s="114">
        <f t="shared" si="40"/>
        <v>0</v>
      </c>
      <c r="O272" s="114">
        <f t="shared" si="40"/>
        <v>0</v>
      </c>
      <c r="P272" s="114">
        <f t="shared" si="40"/>
        <v>0</v>
      </c>
      <c r="Q272" s="114">
        <f t="shared" si="40"/>
        <v>0</v>
      </c>
      <c r="R272" s="1"/>
      <c r="S272" s="82" t="str">
        <f>_xll.BLUEMATRIX2("/servlet/excelData",E272,$B$1,$B272&amp;":"&amp;E$115&amp;":"&amp;$R$114)</f>
        <v>#</v>
      </c>
      <c r="T272" s="82" t="str">
        <f>_xll.BLUEMATRIX2("/servlet/excelData",F272,$B$1,$B272&amp;":"&amp;F$115&amp;":"&amp;$R$114)</f>
        <v>#</v>
      </c>
      <c r="U272" s="82" t="str">
        <f>_xll.BLUEMATRIX2("/servlet/excelData",G272,$B$1,$B272&amp;":"&amp;G$115&amp;":"&amp;$R$114)</f>
        <v>#</v>
      </c>
      <c r="V272" s="82" t="str">
        <f>_xll.BLUEMATRIX2("/servlet/excelData",H272,$B$1,$B272&amp;":"&amp;H$115&amp;":"&amp;$R$114)</f>
        <v>#</v>
      </c>
      <c r="W272" s="82" t="str">
        <f>_xll.BLUEMATRIX2("/servlet/excelData",I272,$B$1,$B272&amp;":"&amp;I$115&amp;":"&amp;$R$114)</f>
        <v>#</v>
      </c>
      <c r="X272" s="82" t="str">
        <f>_xll.BLUEMATRIX2("/servlet/excelData",J272,$B$1,$B272&amp;":"&amp;J$115&amp;":"&amp;$R$114)</f>
        <v>#</v>
      </c>
      <c r="Y272" s="82" t="str">
        <f>_xll.BLUEMATRIX2("/servlet/excelData",K272,$B$1,$B272&amp;":"&amp;K$115&amp;":"&amp;$R$114)</f>
        <v>#</v>
      </c>
      <c r="Z272" s="82" t="str">
        <f>_xll.BLUEMATRIX2("/servlet/excelData",L272,$B$1,$B272&amp;":"&amp;L$115&amp;":"&amp;$R$114)</f>
        <v>#</v>
      </c>
      <c r="AA272" s="82" t="str">
        <f>_xll.BLUEMATRIX2("/servlet/excelData",M272,$B$1,$B272&amp;":"&amp;M$115&amp;":"&amp;$R$114)</f>
        <v>#</v>
      </c>
      <c r="AB272" s="82" t="str">
        <f>_xll.BLUEMATRIX2("/servlet/excelData",N272,$B$1,$B272&amp;":"&amp;N$115&amp;":"&amp;$R$114)</f>
        <v>#</v>
      </c>
      <c r="AC272" s="82" t="str">
        <f>_xll.BLUEMATRIX2("/servlet/excelData",O272,$B$1,$B272&amp;":"&amp;O$115&amp;":"&amp;$R$114)</f>
        <v>#</v>
      </c>
      <c r="AD272" s="82" t="str">
        <f>_xll.BLUEMATRIX2("/servlet/excelData",P272,$B$1,$B272&amp;":"&amp;P$115&amp;":"&amp;$R$114)</f>
        <v>#</v>
      </c>
      <c r="AE272" s="82" t="str">
        <f>_xll.BLUEMATRIX2("/servlet/excelData",Q272,$B$1,$B272&amp;":"&amp;Q$115&amp;":"&amp;$R$114)</f>
        <v>#</v>
      </c>
    </row>
    <row r="273" spans="1:31" x14ac:dyDescent="0.2">
      <c r="C273" s="121" t="s">
        <v>943</v>
      </c>
      <c r="D273" s="122"/>
      <c r="E273" s="486"/>
      <c r="F273" s="486">
        <f>ROUND(FY!F171-F272,2)</f>
        <v>0</v>
      </c>
      <c r="G273" s="486">
        <f>ROUND(FY!G171-G272,2)</f>
        <v>0</v>
      </c>
      <c r="H273" s="486">
        <f>ROUND(FY!H171-H272,2)</f>
        <v>0</v>
      </c>
      <c r="I273" s="486">
        <f>ROUND(FY!I171-I272,2)</f>
        <v>0</v>
      </c>
      <c r="J273" s="486">
        <f>ROUND(FY!J171-J272,2)</f>
        <v>0</v>
      </c>
      <c r="K273" s="486">
        <f>ROUND(FY!K171-K272,2)</f>
        <v>0</v>
      </c>
      <c r="L273" s="486">
        <f>ROUND(FY!L171-L272,2)</f>
        <v>0</v>
      </c>
      <c r="M273" s="486">
        <f>ROUND(FY!M171-M272,2)</f>
        <v>0</v>
      </c>
      <c r="N273" s="486">
        <f>ROUND(FY!N171-N272,2)</f>
        <v>0</v>
      </c>
      <c r="O273" s="486">
        <f>ROUND(FY!O171-O272,2)</f>
        <v>0</v>
      </c>
      <c r="P273" s="486">
        <f>ROUND(FY!P171-P272,2)</f>
        <v>0</v>
      </c>
      <c r="Q273" s="486">
        <f>ROUND(FY!Q171-Q272,2)</f>
        <v>0</v>
      </c>
    </row>
    <row r="274" spans="1:31" ht="12.95" customHeight="1" x14ac:dyDescent="0.2">
      <c r="A274" s="26"/>
      <c r="B274" s="29"/>
      <c r="C274" s="130"/>
      <c r="D274" s="119"/>
      <c r="E274" s="119"/>
      <c r="F274" s="119"/>
      <c r="G274" s="119"/>
      <c r="H274" s="119"/>
      <c r="I274" s="119"/>
      <c r="J274" s="119"/>
      <c r="K274" s="119"/>
      <c r="L274" s="119"/>
      <c r="M274" s="119"/>
      <c r="N274" s="119"/>
      <c r="O274" s="119"/>
      <c r="P274" s="119"/>
      <c r="Q274" s="119"/>
      <c r="R274" s="1"/>
      <c r="S274" s="82"/>
      <c r="T274" s="82"/>
      <c r="U274" s="82"/>
      <c r="V274" s="82"/>
      <c r="W274" s="82"/>
      <c r="X274" s="82"/>
      <c r="Y274" s="82"/>
      <c r="Z274" s="82"/>
      <c r="AA274" s="82"/>
      <c r="AB274" s="82"/>
      <c r="AC274" s="82"/>
      <c r="AD274" s="82"/>
      <c r="AE274" s="82"/>
    </row>
    <row r="275" spans="1:31" ht="12.95" customHeight="1" x14ac:dyDescent="0.2">
      <c r="A275" s="26" t="s">
        <v>944</v>
      </c>
      <c r="B275" s="29" t="s">
        <v>945</v>
      </c>
      <c r="C275" s="163" t="s">
        <v>946</v>
      </c>
      <c r="D275" s="111"/>
      <c r="E275" s="483"/>
      <c r="F275" s="483">
        <f>FY!F175</f>
        <v>0</v>
      </c>
      <c r="G275" s="483">
        <f>FY!G175</f>
        <v>0.20000000000000004</v>
      </c>
      <c r="H275" s="483">
        <f>FY!H175</f>
        <v>-9.9999999999999978E-2</v>
      </c>
      <c r="I275" s="483">
        <f>FY!I175</f>
        <v>0</v>
      </c>
      <c r="J275" s="483">
        <f>FY!J175</f>
        <v>0</v>
      </c>
      <c r="K275" s="483">
        <f>FY!K175</f>
        <v>0</v>
      </c>
      <c r="L275" s="483">
        <f>FY!L175</f>
        <v>0</v>
      </c>
      <c r="M275" s="483">
        <f>FY!M175</f>
        <v>0</v>
      </c>
      <c r="N275" s="483">
        <f>FY!N175</f>
        <v>0</v>
      </c>
      <c r="O275" s="483">
        <f>FY!O175</f>
        <v>0</v>
      </c>
      <c r="P275" s="483">
        <f>FY!P175</f>
        <v>0</v>
      </c>
      <c r="Q275" s="483">
        <f>FY!Q175</f>
        <v>0</v>
      </c>
      <c r="R275" s="1"/>
      <c r="S275" s="82" t="str">
        <f>_xll.BLUEMATRIX2("/servlet/excelData",E275,$B$1,$B275&amp;":"&amp;E$115&amp;":"&amp;$R$114)</f>
        <v>#</v>
      </c>
      <c r="T275" s="82" t="str">
        <f>_xll.BLUEMATRIX2("/servlet/excelData",F275,$B$1,$B275&amp;":"&amp;F$115&amp;":"&amp;$R$114)</f>
        <v>#</v>
      </c>
      <c r="U275" s="82" t="str">
        <f>_xll.BLUEMATRIX2("/servlet/excelData",G275,$B$1,$B275&amp;":"&amp;G$115&amp;":"&amp;$R$114)</f>
        <v>#</v>
      </c>
      <c r="V275" s="82" t="str">
        <f>_xll.BLUEMATRIX2("/servlet/excelData",H275,$B$1,$B275&amp;":"&amp;H$115&amp;":"&amp;$R$114)</f>
        <v>#</v>
      </c>
      <c r="W275" s="82" t="str">
        <f>_xll.BLUEMATRIX2("/servlet/excelData",I275,$B$1,$B275&amp;":"&amp;I$115&amp;":"&amp;$R$114)</f>
        <v>#</v>
      </c>
      <c r="X275" s="82" t="str">
        <f>_xll.BLUEMATRIX2("/servlet/excelData",J275,$B$1,$B275&amp;":"&amp;J$115&amp;":"&amp;$R$114)</f>
        <v>#</v>
      </c>
      <c r="Y275" s="82" t="str">
        <f>_xll.BLUEMATRIX2("/servlet/excelData",K275,$B$1,$B275&amp;":"&amp;K$115&amp;":"&amp;$R$114)</f>
        <v>#</v>
      </c>
      <c r="Z275" s="82" t="str">
        <f>_xll.BLUEMATRIX2("/servlet/excelData",L275,$B$1,$B275&amp;":"&amp;L$115&amp;":"&amp;$R$114)</f>
        <v>#</v>
      </c>
      <c r="AA275" s="82" t="str">
        <f>_xll.BLUEMATRIX2("/servlet/excelData",M275,$B$1,$B275&amp;":"&amp;M$115&amp;":"&amp;$R$114)</f>
        <v>#</v>
      </c>
      <c r="AB275" s="82" t="str">
        <f>_xll.BLUEMATRIX2("/servlet/excelData",N275,$B$1,$B275&amp;":"&amp;N$115&amp;":"&amp;$R$114)</f>
        <v>#</v>
      </c>
      <c r="AC275" s="82" t="str">
        <f>_xll.BLUEMATRIX2("/servlet/excelData",O275,$B$1,$B275&amp;":"&amp;O$115&amp;":"&amp;$R$114)</f>
        <v>#</v>
      </c>
      <c r="AD275" s="82" t="str">
        <f>_xll.BLUEMATRIX2("/servlet/excelData",P275,$B$1,$B275&amp;":"&amp;P$115&amp;":"&amp;$R$114)</f>
        <v>#</v>
      </c>
      <c r="AE275" s="82" t="str">
        <f>_xll.BLUEMATRIX2("/servlet/excelData",Q275,$B$1,$B275&amp;":"&amp;Q$115&amp;":"&amp;$R$114)</f>
        <v>#</v>
      </c>
    </row>
    <row r="276" spans="1:31" ht="12.95" customHeight="1" x14ac:dyDescent="0.2">
      <c r="A276" s="26" t="s">
        <v>947</v>
      </c>
      <c r="B276" s="29" t="s">
        <v>948</v>
      </c>
      <c r="C276" s="135" t="s">
        <v>949</v>
      </c>
      <c r="D276" s="114"/>
      <c r="E276" s="114"/>
      <c r="F276" s="114">
        <f t="shared" ref="F276:Q276" si="41">F249+F262+F272+F275</f>
        <v>0</v>
      </c>
      <c r="G276" s="114">
        <f t="shared" si="41"/>
        <v>1.7999999999999978</v>
      </c>
      <c r="H276" s="114">
        <f t="shared" si="41"/>
        <v>80.500000000000028</v>
      </c>
      <c r="I276" s="114">
        <f t="shared" si="41"/>
        <v>-77.300000000000011</v>
      </c>
      <c r="J276" s="114">
        <f t="shared" si="41"/>
        <v>1.7385692295908797</v>
      </c>
      <c r="K276" s="114">
        <f t="shared" si="41"/>
        <v>6.4965012870440617</v>
      </c>
      <c r="L276" s="114">
        <f t="shared" si="41"/>
        <v>9.2399808928563161</v>
      </c>
      <c r="M276" s="114">
        <f t="shared" si="41"/>
        <v>11.954707274995055</v>
      </c>
      <c r="N276" s="114">
        <f t="shared" si="41"/>
        <v>13.474336551620265</v>
      </c>
      <c r="O276" s="114">
        <f t="shared" si="41"/>
        <v>14.324211913172842</v>
      </c>
      <c r="P276" s="114">
        <f t="shared" si="41"/>
        <v>15.249738467498931</v>
      </c>
      <c r="Q276" s="114">
        <f t="shared" si="41"/>
        <v>16.238028997339349</v>
      </c>
      <c r="R276" s="1"/>
      <c r="S276" s="82" t="str">
        <f>_xll.BLUEMATRIX2("/servlet/excelData",E276,$B$1,$B276&amp;":"&amp;E$115&amp;":"&amp;$R$114)</f>
        <v>#</v>
      </c>
      <c r="T276" s="82" t="str">
        <f>_xll.BLUEMATRIX2("/servlet/excelData",F276,$B$1,$B276&amp;":"&amp;F$115&amp;":"&amp;$R$114)</f>
        <v>#</v>
      </c>
      <c r="U276" s="82" t="str">
        <f>_xll.BLUEMATRIX2("/servlet/excelData",G276,$B$1,$B276&amp;":"&amp;G$115&amp;":"&amp;$R$114)</f>
        <v>#</v>
      </c>
      <c r="V276" s="82" t="str">
        <f>_xll.BLUEMATRIX2("/servlet/excelData",H276,$B$1,$B276&amp;":"&amp;H$115&amp;":"&amp;$R$114)</f>
        <v>#</v>
      </c>
      <c r="W276" s="82" t="str">
        <f>_xll.BLUEMATRIX2("/servlet/excelData",I276,$B$1,$B276&amp;":"&amp;I$115&amp;":"&amp;$R$114)</f>
        <v>#</v>
      </c>
      <c r="X276" s="82" t="str">
        <f>_xll.BLUEMATRIX2("/servlet/excelData",J276,$B$1,$B276&amp;":"&amp;J$115&amp;":"&amp;$R$114)</f>
        <v>#</v>
      </c>
      <c r="Y276" s="82" t="str">
        <f>_xll.BLUEMATRIX2("/servlet/excelData",K276,$B$1,$B276&amp;":"&amp;K$115&amp;":"&amp;$R$114)</f>
        <v>#</v>
      </c>
      <c r="Z276" s="82" t="str">
        <f>_xll.BLUEMATRIX2("/servlet/excelData",L276,$B$1,$B276&amp;":"&amp;L$115&amp;":"&amp;$R$114)</f>
        <v>#</v>
      </c>
      <c r="AA276" s="82" t="str">
        <f>_xll.BLUEMATRIX2("/servlet/excelData",M276,$B$1,$B276&amp;":"&amp;M$115&amp;":"&amp;$R$114)</f>
        <v>#</v>
      </c>
      <c r="AB276" s="82" t="str">
        <f>_xll.BLUEMATRIX2("/servlet/excelData",N276,$B$1,$B276&amp;":"&amp;N$115&amp;":"&amp;$R$114)</f>
        <v>#</v>
      </c>
      <c r="AC276" s="82" t="str">
        <f>_xll.BLUEMATRIX2("/servlet/excelData",O276,$B$1,$B276&amp;":"&amp;O$115&amp;":"&amp;$R$114)</f>
        <v>#</v>
      </c>
      <c r="AD276" s="82" t="str">
        <f>_xll.BLUEMATRIX2("/servlet/excelData",P276,$B$1,$B276&amp;":"&amp;P$115&amp;":"&amp;$R$114)</f>
        <v>#</v>
      </c>
      <c r="AE276" s="82" t="str">
        <f>_xll.BLUEMATRIX2("/servlet/excelData",Q276,$B$1,$B276&amp;":"&amp;Q$115&amp;":"&amp;$R$114)</f>
        <v>#</v>
      </c>
    </row>
    <row r="277" spans="1:31" ht="12.95" customHeight="1" x14ac:dyDescent="0.2">
      <c r="A277" s="26"/>
      <c r="B277" s="29"/>
      <c r="C277" s="162"/>
      <c r="D277" s="147"/>
      <c r="E277" s="147"/>
      <c r="F277" s="147"/>
      <c r="G277" s="147"/>
      <c r="H277" s="147"/>
      <c r="I277" s="147"/>
      <c r="J277" s="147"/>
      <c r="K277" s="147"/>
      <c r="L277" s="147"/>
      <c r="M277" s="147"/>
      <c r="N277" s="147"/>
      <c r="O277" s="147"/>
      <c r="P277" s="147"/>
      <c r="Q277" s="147"/>
      <c r="R277" s="147"/>
      <c r="S277" s="82"/>
      <c r="T277" s="82"/>
      <c r="U277" s="82"/>
      <c r="V277" s="82"/>
      <c r="W277" s="82"/>
      <c r="X277" s="82"/>
      <c r="Y277" s="82"/>
      <c r="Z277" s="82"/>
      <c r="AA277" s="82"/>
      <c r="AB277" s="82"/>
      <c r="AC277" s="82"/>
      <c r="AD277" s="82"/>
      <c r="AE277" s="82"/>
    </row>
    <row r="278" spans="1:31" ht="12.95" customHeight="1" x14ac:dyDescent="0.2">
      <c r="A278" s="26" t="s">
        <v>950</v>
      </c>
      <c r="B278" s="29" t="s">
        <v>951</v>
      </c>
      <c r="C278" s="164" t="s">
        <v>952</v>
      </c>
      <c r="D278" s="145"/>
      <c r="E278" s="145"/>
      <c r="F278" s="145">
        <f t="shared" ref="F278:Q278" si="42">F249+F256</f>
        <v>0</v>
      </c>
      <c r="G278" s="145">
        <f t="shared" si="42"/>
        <v>-16.600000000000001</v>
      </c>
      <c r="H278" s="145">
        <f t="shared" si="42"/>
        <v>-25.4</v>
      </c>
      <c r="I278" s="145">
        <f t="shared" si="42"/>
        <v>-34.700000000000003</v>
      </c>
      <c r="J278" s="145">
        <f t="shared" si="42"/>
        <v>1.7385692295908797</v>
      </c>
      <c r="K278" s="145">
        <f t="shared" si="42"/>
        <v>6.4965012870440617</v>
      </c>
      <c r="L278" s="145">
        <f t="shared" si="42"/>
        <v>9.2399808928563161</v>
      </c>
      <c r="M278" s="145">
        <f t="shared" si="42"/>
        <v>11.954707274995055</v>
      </c>
      <c r="N278" s="145">
        <f t="shared" si="42"/>
        <v>13.474336551620265</v>
      </c>
      <c r="O278" s="145">
        <f t="shared" si="42"/>
        <v>14.324211913172842</v>
      </c>
      <c r="P278" s="145">
        <f t="shared" si="42"/>
        <v>15.249738467498931</v>
      </c>
      <c r="Q278" s="145">
        <f t="shared" si="42"/>
        <v>16.238028997339349</v>
      </c>
      <c r="R278" s="1"/>
      <c r="S278" s="82" t="str">
        <f>_xll.BLUEMATRIX2("/servlet/excelData",E278,$B$1,$B278&amp;":"&amp;E$115&amp;":"&amp;$R$114)</f>
        <v>#</v>
      </c>
      <c r="T278" s="82" t="str">
        <f>_xll.BLUEMATRIX2("/servlet/excelData",F278,$B$1,$B278&amp;":"&amp;F$115&amp;":"&amp;$R$114)</f>
        <v>#</v>
      </c>
      <c r="U278" s="82" t="str">
        <f>_xll.BLUEMATRIX2("/servlet/excelData",G278,$B$1,$B278&amp;":"&amp;G$115&amp;":"&amp;$R$114)</f>
        <v>#</v>
      </c>
      <c r="V278" s="82" t="str">
        <f>_xll.BLUEMATRIX2("/servlet/excelData",H278,$B$1,$B278&amp;":"&amp;H$115&amp;":"&amp;$R$114)</f>
        <v>#</v>
      </c>
      <c r="W278" s="82" t="str">
        <f>_xll.BLUEMATRIX2("/servlet/excelData",I278,$B$1,$B278&amp;":"&amp;I$115&amp;":"&amp;$R$114)</f>
        <v>#</v>
      </c>
      <c r="X278" s="82" t="str">
        <f>_xll.BLUEMATRIX2("/servlet/excelData",J278,$B$1,$B278&amp;":"&amp;J$115&amp;":"&amp;$R$114)</f>
        <v>#</v>
      </c>
      <c r="Y278" s="82" t="str">
        <f>_xll.BLUEMATRIX2("/servlet/excelData",K278,$B$1,$B278&amp;":"&amp;K$115&amp;":"&amp;$R$114)</f>
        <v>#</v>
      </c>
      <c r="Z278" s="82" t="str">
        <f>_xll.BLUEMATRIX2("/servlet/excelData",L278,$B$1,$B278&amp;":"&amp;L$115&amp;":"&amp;$R$114)</f>
        <v>#</v>
      </c>
      <c r="AA278" s="82" t="str">
        <f>_xll.BLUEMATRIX2("/servlet/excelData",M278,$B$1,$B278&amp;":"&amp;M$115&amp;":"&amp;$R$114)</f>
        <v>#</v>
      </c>
      <c r="AB278" s="82" t="str">
        <f>_xll.BLUEMATRIX2("/servlet/excelData",N278,$B$1,$B278&amp;":"&amp;N$115&amp;":"&amp;$R$114)</f>
        <v>#</v>
      </c>
      <c r="AC278" s="82" t="str">
        <f>_xll.BLUEMATRIX2("/servlet/excelData",O278,$B$1,$B278&amp;":"&amp;O$115&amp;":"&amp;$R$114)</f>
        <v>#</v>
      </c>
      <c r="AD278" s="82" t="str">
        <f>_xll.BLUEMATRIX2("/servlet/excelData",P278,$B$1,$B278&amp;":"&amp;P$115&amp;":"&amp;$R$114)</f>
        <v>#</v>
      </c>
      <c r="AE278" s="82" t="str">
        <f>_xll.BLUEMATRIX2("/servlet/excelData",Q278,$B$1,$B278&amp;":"&amp;Q$115&amp;":"&amp;$R$114)</f>
        <v>#</v>
      </c>
    </row>
    <row r="279" spans="1:31" ht="12.95" customHeight="1" x14ac:dyDescent="0.2">
      <c r="A279" s="26"/>
      <c r="B279" s="29"/>
      <c r="C279" s="162"/>
      <c r="D279" s="147"/>
      <c r="E279" s="147"/>
      <c r="F279" s="147"/>
      <c r="G279" s="147"/>
      <c r="H279" s="147"/>
      <c r="I279" s="147"/>
      <c r="J279" s="147"/>
      <c r="K279" s="147"/>
      <c r="L279" s="147"/>
      <c r="M279" s="147"/>
      <c r="N279" s="147"/>
      <c r="O279" s="147"/>
      <c r="P279" s="147"/>
      <c r="Q279" s="147"/>
      <c r="R279" s="1"/>
      <c r="S279" s="82"/>
      <c r="T279" s="82"/>
      <c r="U279" s="82"/>
      <c r="V279" s="82"/>
      <c r="W279" s="82"/>
      <c r="X279" s="82"/>
      <c r="Y279" s="82"/>
      <c r="Z279" s="82"/>
      <c r="AA279" s="82"/>
      <c r="AB279" s="82"/>
      <c r="AC279" s="82"/>
      <c r="AD279" s="82"/>
      <c r="AE279" s="82"/>
    </row>
    <row r="280" spans="1:31" ht="12.95" customHeight="1" x14ac:dyDescent="0.2">
      <c r="A280" s="26" t="s">
        <v>953</v>
      </c>
      <c r="B280" s="29" t="s">
        <v>954</v>
      </c>
      <c r="C280" s="163" t="s">
        <v>955</v>
      </c>
      <c r="D280" s="111"/>
      <c r="E280" s="111"/>
      <c r="F280" s="111">
        <f t="shared" ref="F280:Q280" si="43">E281</f>
        <v>0</v>
      </c>
      <c r="G280" s="111">
        <f t="shared" si="43"/>
        <v>0</v>
      </c>
      <c r="H280" s="111">
        <f t="shared" si="43"/>
        <v>24.5</v>
      </c>
      <c r="I280" s="111">
        <f t="shared" si="43"/>
        <v>104.9</v>
      </c>
      <c r="J280" s="111">
        <f t="shared" si="43"/>
        <v>27.6</v>
      </c>
      <c r="K280" s="111">
        <f t="shared" si="43"/>
        <v>29.338569229590878</v>
      </c>
      <c r="L280" s="111">
        <f t="shared" si="43"/>
        <v>35.835070516634943</v>
      </c>
      <c r="M280" s="111">
        <f t="shared" si="43"/>
        <v>45.075051409491252</v>
      </c>
      <c r="N280" s="111">
        <f t="shared" si="43"/>
        <v>57.029758684486303</v>
      </c>
      <c r="O280" s="111">
        <f t="shared" si="43"/>
        <v>70.504095236106579</v>
      </c>
      <c r="P280" s="111">
        <f t="shared" si="43"/>
        <v>84.828307149279439</v>
      </c>
      <c r="Q280" s="111">
        <f t="shared" si="43"/>
        <v>100.07804561677837</v>
      </c>
      <c r="R280" s="1"/>
      <c r="S280" s="82" t="str">
        <f>_xll.BLUEMATRIX2("/servlet/excelData",E280,$B$1,$B280&amp;":"&amp;E$115&amp;":"&amp;$R$114)</f>
        <v>#</v>
      </c>
      <c r="T280" s="82" t="str">
        <f>_xll.BLUEMATRIX2("/servlet/excelData",F280,$B$1,$B280&amp;":"&amp;F$115&amp;":"&amp;$R$114)</f>
        <v>#</v>
      </c>
      <c r="U280" s="82" t="str">
        <f>_xll.BLUEMATRIX2("/servlet/excelData",G280,$B$1,$B280&amp;":"&amp;G$115&amp;":"&amp;$R$114)</f>
        <v>#</v>
      </c>
      <c r="V280" s="82" t="str">
        <f>_xll.BLUEMATRIX2("/servlet/excelData",H280,$B$1,$B280&amp;":"&amp;H$115&amp;":"&amp;$R$114)</f>
        <v>#</v>
      </c>
      <c r="W280" s="82" t="str">
        <f>_xll.BLUEMATRIX2("/servlet/excelData",I280,$B$1,$B280&amp;":"&amp;I$115&amp;":"&amp;$R$114)</f>
        <v>#</v>
      </c>
      <c r="X280" s="82" t="str">
        <f>_xll.BLUEMATRIX2("/servlet/excelData",J280,$B$1,$B280&amp;":"&amp;J$115&amp;":"&amp;$R$114)</f>
        <v>#</v>
      </c>
      <c r="Y280" s="82" t="str">
        <f>_xll.BLUEMATRIX2("/servlet/excelData",K280,$B$1,$B280&amp;":"&amp;K$115&amp;":"&amp;$R$114)</f>
        <v>#</v>
      </c>
      <c r="Z280" s="82" t="str">
        <f>_xll.BLUEMATRIX2("/servlet/excelData",L280,$B$1,$B280&amp;":"&amp;L$115&amp;":"&amp;$R$114)</f>
        <v>#</v>
      </c>
      <c r="AA280" s="82" t="str">
        <f>_xll.BLUEMATRIX2("/servlet/excelData",M280,$B$1,$B280&amp;":"&amp;M$115&amp;":"&amp;$R$114)</f>
        <v>#</v>
      </c>
      <c r="AB280" s="82" t="str">
        <f>_xll.BLUEMATRIX2("/servlet/excelData",N280,$B$1,$B280&amp;":"&amp;N$115&amp;":"&amp;$R$114)</f>
        <v>#</v>
      </c>
      <c r="AC280" s="82" t="str">
        <f>_xll.BLUEMATRIX2("/servlet/excelData",O280,$B$1,$B280&amp;":"&amp;O$115&amp;":"&amp;$R$114)</f>
        <v>#</v>
      </c>
      <c r="AD280" s="82" t="str">
        <f>_xll.BLUEMATRIX2("/servlet/excelData",P280,$B$1,$B280&amp;":"&amp;P$115&amp;":"&amp;$R$114)</f>
        <v>#</v>
      </c>
      <c r="AE280" s="82" t="str">
        <f>_xll.BLUEMATRIX2("/servlet/excelData",Q280,$B$1,$B280&amp;":"&amp;Q$115&amp;":"&amp;$R$114)</f>
        <v>#</v>
      </c>
    </row>
    <row r="281" spans="1:31" ht="12.95" customHeight="1" x14ac:dyDescent="0.2">
      <c r="A281" s="26" t="s">
        <v>956</v>
      </c>
      <c r="B281" s="29" t="s">
        <v>957</v>
      </c>
      <c r="C281" s="163" t="s">
        <v>958</v>
      </c>
      <c r="D281" s="111"/>
      <c r="E281" s="111">
        <f t="shared" ref="E281:Q281" si="44">E182</f>
        <v>0</v>
      </c>
      <c r="F281" s="111">
        <f t="shared" si="44"/>
        <v>0</v>
      </c>
      <c r="G281" s="111">
        <f t="shared" si="44"/>
        <v>24.5</v>
      </c>
      <c r="H281" s="111">
        <f t="shared" si="44"/>
        <v>104.9</v>
      </c>
      <c r="I281" s="111">
        <f t="shared" si="44"/>
        <v>27.6</v>
      </c>
      <c r="J281" s="111">
        <f t="shared" si="44"/>
        <v>29.338569229590878</v>
      </c>
      <c r="K281" s="111">
        <f t="shared" si="44"/>
        <v>35.835070516634943</v>
      </c>
      <c r="L281" s="111">
        <f t="shared" si="44"/>
        <v>45.075051409491252</v>
      </c>
      <c r="M281" s="111">
        <f t="shared" si="44"/>
        <v>57.029758684486303</v>
      </c>
      <c r="N281" s="111">
        <f t="shared" si="44"/>
        <v>70.504095236106579</v>
      </c>
      <c r="O281" s="111">
        <f t="shared" si="44"/>
        <v>84.828307149279439</v>
      </c>
      <c r="P281" s="111">
        <f t="shared" si="44"/>
        <v>100.07804561677837</v>
      </c>
      <c r="Q281" s="111">
        <f t="shared" si="44"/>
        <v>116.31607461411772</v>
      </c>
      <c r="R281" s="1"/>
      <c r="S281" s="82" t="str">
        <f>_xll.BLUEMATRIX2("/servlet/excelData",E281,$B$1,$B281&amp;":"&amp;E$115&amp;":"&amp;$R$114)</f>
        <v>#</v>
      </c>
      <c r="T281" s="82" t="str">
        <f>_xll.BLUEMATRIX2("/servlet/excelData",F281,$B$1,$B281&amp;":"&amp;F$115&amp;":"&amp;$R$114)</f>
        <v>#</v>
      </c>
      <c r="U281" s="82" t="str">
        <f>_xll.BLUEMATRIX2("/servlet/excelData",G281,$B$1,$B281&amp;":"&amp;G$115&amp;":"&amp;$R$114)</f>
        <v>#</v>
      </c>
      <c r="V281" s="82" t="str">
        <f>_xll.BLUEMATRIX2("/servlet/excelData",H281,$B$1,$B281&amp;":"&amp;H$115&amp;":"&amp;$R$114)</f>
        <v>#</v>
      </c>
      <c r="W281" s="82" t="str">
        <f>_xll.BLUEMATRIX2("/servlet/excelData",I281,$B$1,$B281&amp;":"&amp;I$115&amp;":"&amp;$R$114)</f>
        <v>#</v>
      </c>
      <c r="X281" s="82" t="str">
        <f>_xll.BLUEMATRIX2("/servlet/excelData",J281,$B$1,$B281&amp;":"&amp;J$115&amp;":"&amp;$R$114)</f>
        <v>#</v>
      </c>
      <c r="Y281" s="82" t="str">
        <f>_xll.BLUEMATRIX2("/servlet/excelData",K281,$B$1,$B281&amp;":"&amp;K$115&amp;":"&amp;$R$114)</f>
        <v>#</v>
      </c>
      <c r="Z281" s="82" t="str">
        <f>_xll.BLUEMATRIX2("/servlet/excelData",L281,$B$1,$B281&amp;":"&amp;L$115&amp;":"&amp;$R$114)</f>
        <v>#</v>
      </c>
      <c r="AA281" s="82" t="str">
        <f>_xll.BLUEMATRIX2("/servlet/excelData",M281,$B$1,$B281&amp;":"&amp;M$115&amp;":"&amp;$R$114)</f>
        <v>#</v>
      </c>
      <c r="AB281" s="82" t="str">
        <f>_xll.BLUEMATRIX2("/servlet/excelData",N281,$B$1,$B281&amp;":"&amp;N$115&amp;":"&amp;$R$114)</f>
        <v>#</v>
      </c>
      <c r="AC281" s="82" t="str">
        <f>_xll.BLUEMATRIX2("/servlet/excelData",O281,$B$1,$B281&amp;":"&amp;O$115&amp;":"&amp;$R$114)</f>
        <v>#</v>
      </c>
      <c r="AD281" s="82" t="str">
        <f>_xll.BLUEMATRIX2("/servlet/excelData",P281,$B$1,$B281&amp;":"&amp;P$115&amp;":"&amp;$R$114)</f>
        <v>#</v>
      </c>
      <c r="AE281" s="82" t="str">
        <f>_xll.BLUEMATRIX2("/servlet/excelData",Q281,$B$1,$B281&amp;":"&amp;Q$115&amp;":"&amp;$R$114)</f>
        <v>#</v>
      </c>
    </row>
    <row r="282" spans="1:31" ht="12.95" customHeight="1" x14ac:dyDescent="0.2">
      <c r="A282" s="26"/>
      <c r="B282" s="29"/>
      <c r="C282" s="121" t="s">
        <v>959</v>
      </c>
      <c r="D282" s="122"/>
      <c r="E282" s="486"/>
      <c r="F282" s="486">
        <f>ROUND(FY!F171-F272,2)</f>
        <v>0</v>
      </c>
      <c r="G282" s="486">
        <f>ROUND(FY!G171-G272,2)</f>
        <v>0</v>
      </c>
      <c r="H282" s="486">
        <f>ROUND(FY!H171-H272,2)</f>
        <v>0</v>
      </c>
      <c r="I282" s="486">
        <f>ROUND(FY!I171-I272,2)</f>
        <v>0</v>
      </c>
      <c r="J282" s="486">
        <f>ROUND(FY!J171-J272,2)</f>
        <v>0</v>
      </c>
      <c r="K282" s="486">
        <f>ROUND(FY!K171-K272,2)</f>
        <v>0</v>
      </c>
      <c r="L282" s="486">
        <f>ROUND(FY!L171-L272,2)</f>
        <v>0</v>
      </c>
      <c r="M282" s="486">
        <f>ROUND(FY!M171-M272,2)</f>
        <v>0</v>
      </c>
      <c r="N282" s="486">
        <f>ROUND(FY!N171-N272,2)</f>
        <v>0</v>
      </c>
      <c r="O282" s="486">
        <f>ROUND(FY!O171-O272,2)</f>
        <v>0</v>
      </c>
      <c r="P282" s="486">
        <f>ROUND(FY!P171-P272,2)</f>
        <v>0</v>
      </c>
      <c r="Q282" s="486">
        <f>ROUND(FY!Q171-Q272,2)</f>
        <v>0</v>
      </c>
      <c r="R282" s="1"/>
      <c r="S282" s="82"/>
      <c r="T282" s="82"/>
      <c r="U282" s="82"/>
      <c r="V282" s="82"/>
      <c r="W282" s="82"/>
      <c r="X282" s="82"/>
      <c r="Y282" s="82"/>
      <c r="Z282" s="82"/>
      <c r="AA282" s="82"/>
      <c r="AB282" s="82"/>
      <c r="AC282" s="82"/>
      <c r="AD282" s="82"/>
      <c r="AE282" s="82"/>
    </row>
    <row r="283" spans="1:31" ht="12.95" customHeight="1" x14ac:dyDescent="0.2">
      <c r="A283" s="26"/>
      <c r="B283" s="29"/>
      <c r="C283" s="162"/>
      <c r="D283" s="144"/>
      <c r="E283" s="144"/>
      <c r="F283" s="144"/>
      <c r="G283" s="144"/>
      <c r="H283" s="144"/>
      <c r="I283" s="144"/>
      <c r="J283" s="144"/>
      <c r="K283" s="144"/>
      <c r="L283" s="144"/>
      <c r="M283" s="144"/>
      <c r="N283" s="144"/>
      <c r="O283" s="144"/>
      <c r="P283" s="144"/>
      <c r="Q283" s="144"/>
      <c r="R283" s="1"/>
      <c r="S283" s="33"/>
      <c r="T283" s="33"/>
      <c r="U283" s="33"/>
      <c r="V283" s="33"/>
      <c r="W283" s="33"/>
      <c r="X283" s="33"/>
      <c r="Y283" s="33"/>
      <c r="Z283" s="33"/>
      <c r="AA283" s="33"/>
      <c r="AB283" s="33"/>
      <c r="AC283" s="33"/>
      <c r="AD283" s="33"/>
      <c r="AE283" s="33"/>
    </row>
    <row r="284" spans="1:31" ht="15" customHeight="1" x14ac:dyDescent="0.2">
      <c r="A284" s="61"/>
      <c r="B284" s="29"/>
      <c r="C284" s="107" t="s">
        <v>960</v>
      </c>
      <c r="D284" s="108"/>
      <c r="E284" s="108"/>
      <c r="F284" s="108"/>
      <c r="G284" s="108"/>
      <c r="H284" s="108"/>
      <c r="I284" s="108"/>
      <c r="J284" s="108"/>
      <c r="K284" s="108"/>
      <c r="L284" s="108"/>
      <c r="M284" s="108"/>
      <c r="N284" s="108"/>
      <c r="O284" s="108"/>
      <c r="P284" s="108"/>
      <c r="Q284" s="108"/>
      <c r="R284" s="64"/>
      <c r="S284" s="33"/>
      <c r="T284" s="33"/>
      <c r="U284" s="33"/>
      <c r="V284" s="33"/>
      <c r="W284" s="33"/>
      <c r="X284" s="33"/>
      <c r="Y284" s="33"/>
      <c r="Z284" s="33"/>
      <c r="AA284" s="33"/>
      <c r="AB284" s="33"/>
      <c r="AC284" s="33"/>
      <c r="AD284" s="33"/>
      <c r="AE284" s="33"/>
    </row>
    <row r="285" spans="1:31" ht="12.95" customHeight="1" x14ac:dyDescent="0.2">
      <c r="A285" s="26" t="s">
        <v>961</v>
      </c>
      <c r="B285" s="29" t="s">
        <v>962</v>
      </c>
      <c r="C285" s="165" t="s">
        <v>963</v>
      </c>
      <c r="D285" s="111"/>
      <c r="E285" s="483">
        <f>FY!E295</f>
        <v>0</v>
      </c>
      <c r="F285" s="483">
        <f>FY!F295</f>
        <v>0</v>
      </c>
      <c r="G285" s="483">
        <f>FY!G295</f>
        <v>0</v>
      </c>
      <c r="H285" s="483">
        <f>FY!H295</f>
        <v>1025.5177160000001</v>
      </c>
      <c r="I285" s="483">
        <f>FY!I295</f>
        <v>1046.306313</v>
      </c>
      <c r="J285" s="483">
        <f>FY!J295</f>
        <v>1054.306313</v>
      </c>
      <c r="K285" s="483">
        <f>FY!K295</f>
        <v>1060.306313</v>
      </c>
      <c r="L285" s="483">
        <f>FY!L295</f>
        <v>1066.306313</v>
      </c>
      <c r="M285" s="483">
        <f>FY!M295</f>
        <v>1072.306313</v>
      </c>
      <c r="N285" s="483">
        <f>FY!N295</f>
        <v>1078.306313</v>
      </c>
      <c r="O285" s="483">
        <f>FY!O295</f>
        <v>1084.306313</v>
      </c>
      <c r="P285" s="483">
        <f>FY!P295</f>
        <v>1090.306313</v>
      </c>
      <c r="Q285" s="483">
        <f>FY!Q295</f>
        <v>1096.306313</v>
      </c>
      <c r="R285" s="166"/>
      <c r="S285" s="82" t="str">
        <f>_xll.BLUEMATRIX2("/servlet/excelData",E285,$B$1,$B285&amp;":"&amp;E$115&amp;":"&amp;$R$114)</f>
        <v>#</v>
      </c>
      <c r="T285" s="82" t="str">
        <f>_xll.BLUEMATRIX2("/servlet/excelData",F285,$B$1,$B285&amp;":"&amp;F$115&amp;":"&amp;$R$114)</f>
        <v>#</v>
      </c>
      <c r="U285" s="82" t="str">
        <f>_xll.BLUEMATRIX2("/servlet/excelData",G285,$B$1,$B285&amp;":"&amp;G$115&amp;":"&amp;$R$114)</f>
        <v>#</v>
      </c>
      <c r="V285" s="82" t="str">
        <f>_xll.BLUEMATRIX2("/servlet/excelData",H285,$B$1,$B285&amp;":"&amp;H$115&amp;":"&amp;$R$114)</f>
        <v>#</v>
      </c>
      <c r="W285" s="82" t="str">
        <f>_xll.BLUEMATRIX2("/servlet/excelData",I285,$B$1,$B285&amp;":"&amp;I$115&amp;":"&amp;$R$114)</f>
        <v>#</v>
      </c>
      <c r="X285" s="82" t="str">
        <f>_xll.BLUEMATRIX2("/servlet/excelData",J285,$B$1,$B285&amp;":"&amp;J$115&amp;":"&amp;$R$114)</f>
        <v>#</v>
      </c>
      <c r="Y285" s="82" t="str">
        <f>_xll.BLUEMATRIX2("/servlet/excelData",K285,$B$1,$B285&amp;":"&amp;K$115&amp;":"&amp;$R$114)</f>
        <v>#</v>
      </c>
      <c r="Z285" s="82" t="str">
        <f>_xll.BLUEMATRIX2("/servlet/excelData",L285,$B$1,$B285&amp;":"&amp;L$115&amp;":"&amp;$R$114)</f>
        <v>#</v>
      </c>
      <c r="AA285" s="82" t="str">
        <f>_xll.BLUEMATRIX2("/servlet/excelData",M285,$B$1,$B285&amp;":"&amp;M$115&amp;":"&amp;$R$114)</f>
        <v>#</v>
      </c>
      <c r="AB285" s="82" t="str">
        <f>_xll.BLUEMATRIX2("/servlet/excelData",N285,$B$1,$B285&amp;":"&amp;N$115&amp;":"&amp;$R$114)</f>
        <v>#</v>
      </c>
      <c r="AC285" s="82" t="str">
        <f>_xll.BLUEMATRIX2("/servlet/excelData",O285,$B$1,$B285&amp;":"&amp;O$115&amp;":"&amp;$R$114)</f>
        <v>#</v>
      </c>
      <c r="AD285" s="82" t="str">
        <f>_xll.BLUEMATRIX2("/servlet/excelData",P285,$B$1,$B285&amp;":"&amp;P$115&amp;":"&amp;$R$114)</f>
        <v>#</v>
      </c>
      <c r="AE285" s="82" t="str">
        <f>_xll.BLUEMATRIX2("/servlet/excelData",Q285,$B$1,$B285&amp;":"&amp;Q$115&amp;":"&amp;$R$114)</f>
        <v>#</v>
      </c>
    </row>
    <row r="286" spans="1:31" ht="12.95" customHeight="1" x14ac:dyDescent="0.2">
      <c r="A286" s="26" t="s">
        <v>964</v>
      </c>
      <c r="B286" s="29" t="s">
        <v>965</v>
      </c>
      <c r="C286" s="165" t="s">
        <v>966</v>
      </c>
      <c r="D286" s="111"/>
      <c r="E286" s="483">
        <f>FY!E298</f>
        <v>0</v>
      </c>
      <c r="F286" s="483">
        <f>FY!F298</f>
        <v>0</v>
      </c>
      <c r="G286" s="483">
        <f>FY!G298</f>
        <v>0</v>
      </c>
      <c r="H286" s="483">
        <f>FY!H298</f>
        <v>1025.5177160000001</v>
      </c>
      <c r="I286" s="483">
        <f>FY!I298</f>
        <v>1046.306313</v>
      </c>
      <c r="J286" s="483">
        <f>FY!J298</f>
        <v>1054.306313</v>
      </c>
      <c r="K286" s="483">
        <f>FY!K298</f>
        <v>1060.306313</v>
      </c>
      <c r="L286" s="483">
        <f>FY!L298</f>
        <v>1066.306313</v>
      </c>
      <c r="M286" s="483">
        <f>FY!M298</f>
        <v>1072.306313</v>
      </c>
      <c r="N286" s="483">
        <f>FY!N298</f>
        <v>1078.306313</v>
      </c>
      <c r="O286" s="483">
        <f>FY!O298</f>
        <v>1084.306313</v>
      </c>
      <c r="P286" s="483">
        <f>FY!P298</f>
        <v>1090.306313</v>
      </c>
      <c r="Q286" s="483">
        <f>FY!Q298</f>
        <v>1096.306313</v>
      </c>
      <c r="R286" s="166"/>
      <c r="S286" s="82" t="str">
        <f>_xll.BLUEMATRIX2("/servlet/excelData",E286,$B$1,$B286&amp;":"&amp;E$115&amp;":"&amp;$R$114)</f>
        <v>#</v>
      </c>
      <c r="T286" s="82" t="str">
        <f>_xll.BLUEMATRIX2("/servlet/excelData",F286,$B$1,$B286&amp;":"&amp;F$115&amp;":"&amp;$R$114)</f>
        <v>#</v>
      </c>
      <c r="U286" s="82" t="str">
        <f>_xll.BLUEMATRIX2("/servlet/excelData",G286,$B$1,$B286&amp;":"&amp;G$115&amp;":"&amp;$R$114)</f>
        <v>#</v>
      </c>
      <c r="V286" s="82" t="str">
        <f>_xll.BLUEMATRIX2("/servlet/excelData",H286,$B$1,$B286&amp;":"&amp;H$115&amp;":"&amp;$R$114)</f>
        <v>#</v>
      </c>
      <c r="W286" s="82" t="str">
        <f>_xll.BLUEMATRIX2("/servlet/excelData",I286,$B$1,$B286&amp;":"&amp;I$115&amp;":"&amp;$R$114)</f>
        <v>#</v>
      </c>
      <c r="X286" s="82" t="str">
        <f>_xll.BLUEMATRIX2("/servlet/excelData",J286,$B$1,$B286&amp;":"&amp;J$115&amp;":"&amp;$R$114)</f>
        <v>#</v>
      </c>
      <c r="Y286" s="82" t="str">
        <f>_xll.BLUEMATRIX2("/servlet/excelData",K286,$B$1,$B286&amp;":"&amp;K$115&amp;":"&amp;$R$114)</f>
        <v>#</v>
      </c>
      <c r="Z286" s="82" t="str">
        <f>_xll.BLUEMATRIX2("/servlet/excelData",L286,$B$1,$B286&amp;":"&amp;L$115&amp;":"&amp;$R$114)</f>
        <v>#</v>
      </c>
      <c r="AA286" s="82" t="str">
        <f>_xll.BLUEMATRIX2("/servlet/excelData",M286,$B$1,$B286&amp;":"&amp;M$115&amp;":"&amp;$R$114)</f>
        <v>#</v>
      </c>
      <c r="AB286" s="82" t="str">
        <f>_xll.BLUEMATRIX2("/servlet/excelData",N286,$B$1,$B286&amp;":"&amp;N$115&amp;":"&amp;$R$114)</f>
        <v>#</v>
      </c>
      <c r="AC286" s="82" t="str">
        <f>_xll.BLUEMATRIX2("/servlet/excelData",O286,$B$1,$B286&amp;":"&amp;O$115&amp;":"&amp;$R$114)</f>
        <v>#</v>
      </c>
      <c r="AD286" s="82" t="str">
        <f>_xll.BLUEMATRIX2("/servlet/excelData",P286,$B$1,$B286&amp;":"&amp;P$115&amp;":"&amp;$R$114)</f>
        <v>#</v>
      </c>
      <c r="AE286" s="82" t="str">
        <f>_xll.BLUEMATRIX2("/servlet/excelData",Q286,$B$1,$B286&amp;":"&amp;Q$115&amp;":"&amp;$R$114)</f>
        <v>#</v>
      </c>
    </row>
    <row r="287" spans="1:31" ht="12.95" customHeight="1" x14ac:dyDescent="0.2">
      <c r="A287" s="26" t="s">
        <v>967</v>
      </c>
      <c r="B287" s="29" t="s">
        <v>968</v>
      </c>
      <c r="C287" s="167" t="s">
        <v>969</v>
      </c>
      <c r="D287" s="111"/>
      <c r="E287" s="483">
        <f>FY!E296</f>
        <v>0</v>
      </c>
      <c r="F287" s="483">
        <f>FY!F296</f>
        <v>0</v>
      </c>
      <c r="G287" s="483">
        <f>FY!G296</f>
        <v>0</v>
      </c>
      <c r="H287" s="483">
        <f>FY!H296</f>
        <v>660.93107750000001</v>
      </c>
      <c r="I287" s="483">
        <f>FY!I296</f>
        <v>1035.9120145000002</v>
      </c>
      <c r="J287" s="483">
        <f>FY!J296</f>
        <v>1050.306313</v>
      </c>
      <c r="K287" s="483">
        <f>FY!K296</f>
        <v>1057.306313</v>
      </c>
      <c r="L287" s="483">
        <f>FY!L296</f>
        <v>1063.306313</v>
      </c>
      <c r="M287" s="483">
        <f>FY!M296</f>
        <v>1069.306313</v>
      </c>
      <c r="N287" s="483">
        <f>FY!N296</f>
        <v>1075.306313</v>
      </c>
      <c r="O287" s="483">
        <f>FY!O296</f>
        <v>1081.306313</v>
      </c>
      <c r="P287" s="483">
        <f>FY!P296</f>
        <v>1087.306313</v>
      </c>
      <c r="Q287" s="483">
        <f>FY!Q296</f>
        <v>1093.306313</v>
      </c>
      <c r="R287" s="166"/>
      <c r="S287" s="82" t="str">
        <f>_xll.BLUEMATRIX2("/servlet/excelData",E287,$B$1,$B287&amp;":"&amp;E$115&amp;":"&amp;$R$114)</f>
        <v>#</v>
      </c>
      <c r="T287" s="82" t="str">
        <f>_xll.BLUEMATRIX2("/servlet/excelData",F287,$B$1,$B287&amp;":"&amp;F$115&amp;":"&amp;$R$114)</f>
        <v>#</v>
      </c>
      <c r="U287" s="82" t="str">
        <f>_xll.BLUEMATRIX2("/servlet/excelData",G287,$B$1,$B287&amp;":"&amp;G$115&amp;":"&amp;$R$114)</f>
        <v>#</v>
      </c>
      <c r="V287" s="82" t="str">
        <f>_xll.BLUEMATRIX2("/servlet/excelData",H287,$B$1,$B287&amp;":"&amp;H$115&amp;":"&amp;$R$114)</f>
        <v>#</v>
      </c>
      <c r="W287" s="82" t="str">
        <f>_xll.BLUEMATRIX2("/servlet/excelData",I287,$B$1,$B287&amp;":"&amp;I$115&amp;":"&amp;$R$114)</f>
        <v>#</v>
      </c>
      <c r="X287" s="82" t="str">
        <f>_xll.BLUEMATRIX2("/servlet/excelData",J287,$B$1,$B287&amp;":"&amp;J$115&amp;":"&amp;$R$114)</f>
        <v>#</v>
      </c>
      <c r="Y287" s="82" t="str">
        <f>_xll.BLUEMATRIX2("/servlet/excelData",K287,$B$1,$B287&amp;":"&amp;K$115&amp;":"&amp;$R$114)</f>
        <v>#</v>
      </c>
      <c r="Z287" s="82" t="str">
        <f>_xll.BLUEMATRIX2("/servlet/excelData",L287,$B$1,$B287&amp;":"&amp;L$115&amp;":"&amp;$R$114)</f>
        <v>#</v>
      </c>
      <c r="AA287" s="82" t="str">
        <f>_xll.BLUEMATRIX2("/servlet/excelData",M287,$B$1,$B287&amp;":"&amp;M$115&amp;":"&amp;$R$114)</f>
        <v>#</v>
      </c>
      <c r="AB287" s="82" t="str">
        <f>_xll.BLUEMATRIX2("/servlet/excelData",N287,$B$1,$B287&amp;":"&amp;N$115&amp;":"&amp;$R$114)</f>
        <v>#</v>
      </c>
      <c r="AC287" s="82" t="str">
        <f>_xll.BLUEMATRIX2("/servlet/excelData",O287,$B$1,$B287&amp;":"&amp;O$115&amp;":"&amp;$R$114)</f>
        <v>#</v>
      </c>
      <c r="AD287" s="82" t="str">
        <f>_xll.BLUEMATRIX2("/servlet/excelData",P287,$B$1,$B287&amp;":"&amp;P$115&amp;":"&amp;$R$114)</f>
        <v>#</v>
      </c>
      <c r="AE287" s="82" t="str">
        <f>_xll.BLUEMATRIX2("/servlet/excelData",Q287,$B$1,$B287&amp;":"&amp;Q$115&amp;":"&amp;$R$114)</f>
        <v>#</v>
      </c>
    </row>
    <row r="288" spans="1:31" ht="12.95" customHeight="1" x14ac:dyDescent="0.2">
      <c r="A288" s="26" t="s">
        <v>970</v>
      </c>
      <c r="B288" s="29" t="s">
        <v>971</v>
      </c>
      <c r="C288" s="167" t="s">
        <v>972</v>
      </c>
      <c r="D288" s="111"/>
      <c r="E288" s="154"/>
      <c r="F288" s="154"/>
      <c r="G288" s="154"/>
      <c r="H288" s="154"/>
      <c r="I288" s="154"/>
      <c r="J288" s="154"/>
      <c r="K288" s="154"/>
      <c r="L288" s="154"/>
      <c r="M288" s="154"/>
      <c r="N288" s="154"/>
      <c r="O288" s="154"/>
      <c r="P288" s="154"/>
      <c r="Q288" s="154"/>
      <c r="R288" s="166"/>
      <c r="S288" s="82" t="str">
        <f>_xll.BLUEMATRIX2("/servlet/excelData",E288,$B$1,$B288&amp;":"&amp;E$115&amp;":"&amp;$R$114)</f>
        <v>#</v>
      </c>
      <c r="T288" s="82" t="str">
        <f>_xll.BLUEMATRIX2("/servlet/excelData",F288,$B$1,$B288&amp;":"&amp;F$115&amp;":"&amp;$R$114)</f>
        <v>#</v>
      </c>
      <c r="U288" s="82" t="str">
        <f>_xll.BLUEMATRIX2("/servlet/excelData",G288,$B$1,$B288&amp;":"&amp;G$115&amp;":"&amp;$R$114)</f>
        <v>#</v>
      </c>
      <c r="V288" s="82" t="str">
        <f>_xll.BLUEMATRIX2("/servlet/excelData",H288,$B$1,$B288&amp;":"&amp;H$115&amp;":"&amp;$R$114)</f>
        <v>#</v>
      </c>
      <c r="W288" s="82" t="str">
        <f>_xll.BLUEMATRIX2("/servlet/excelData",I288,$B$1,$B288&amp;":"&amp;I$115&amp;":"&amp;$R$114)</f>
        <v>#</v>
      </c>
      <c r="X288" s="82" t="str">
        <f>_xll.BLUEMATRIX2("/servlet/excelData",J288,$B$1,$B288&amp;":"&amp;J$115&amp;":"&amp;$R$114)</f>
        <v>#</v>
      </c>
      <c r="Y288" s="82" t="str">
        <f>_xll.BLUEMATRIX2("/servlet/excelData",K288,$B$1,$B288&amp;":"&amp;K$115&amp;":"&amp;$R$114)</f>
        <v>#</v>
      </c>
      <c r="Z288" s="82" t="str">
        <f>_xll.BLUEMATRIX2("/servlet/excelData",L288,$B$1,$B288&amp;":"&amp;L$115&amp;":"&amp;$R$114)</f>
        <v>#</v>
      </c>
      <c r="AA288" s="82" t="str">
        <f>_xll.BLUEMATRIX2("/servlet/excelData",M288,$B$1,$B288&amp;":"&amp;M$115&amp;":"&amp;$R$114)</f>
        <v>#</v>
      </c>
      <c r="AB288" s="82" t="str">
        <f>_xll.BLUEMATRIX2("/servlet/excelData",N288,$B$1,$B288&amp;":"&amp;N$115&amp;":"&amp;$R$114)</f>
        <v>#</v>
      </c>
      <c r="AC288" s="82" t="str">
        <f>_xll.BLUEMATRIX2("/servlet/excelData",O288,$B$1,$B288&amp;":"&amp;O$115&amp;":"&amp;$R$114)</f>
        <v>#</v>
      </c>
      <c r="AD288" s="82" t="str">
        <f>_xll.BLUEMATRIX2("/servlet/excelData",P288,$B$1,$B288&amp;":"&amp;P$115&amp;":"&amp;$R$114)</f>
        <v>#</v>
      </c>
      <c r="AE288" s="82" t="str">
        <f>_xll.BLUEMATRIX2("/servlet/excelData",Q288,$B$1,$B288&amp;":"&amp;Q$115&amp;":"&amp;$R$114)</f>
        <v>#</v>
      </c>
    </row>
    <row r="289" spans="1:31" ht="12.95" customHeight="1" x14ac:dyDescent="0.2">
      <c r="A289" s="26" t="s">
        <v>973</v>
      </c>
      <c r="B289" s="29" t="s">
        <v>974</v>
      </c>
      <c r="C289" s="165" t="s">
        <v>975</v>
      </c>
      <c r="D289" s="111"/>
      <c r="E289" s="154"/>
      <c r="F289" s="154"/>
      <c r="G289" s="154"/>
      <c r="H289" s="154"/>
      <c r="I289" s="154"/>
      <c r="J289" s="154"/>
      <c r="K289" s="154"/>
      <c r="L289" s="154"/>
      <c r="M289" s="154"/>
      <c r="N289" s="154"/>
      <c r="O289" s="154"/>
      <c r="P289" s="154"/>
      <c r="Q289" s="154"/>
      <c r="R289" s="168"/>
      <c r="S289" s="82" t="str">
        <f>_xll.BLUEMATRIX2("/servlet/excelData",E289,$B$1,$B289&amp;":"&amp;E$115&amp;":"&amp;$R$114)</f>
        <v>#</v>
      </c>
      <c r="T289" s="82" t="str">
        <f>_xll.BLUEMATRIX2("/servlet/excelData",F289,$B$1,$B289&amp;":"&amp;F$115&amp;":"&amp;$R$114)</f>
        <v>#</v>
      </c>
      <c r="U289" s="82" t="str">
        <f>_xll.BLUEMATRIX2("/servlet/excelData",G289,$B$1,$B289&amp;":"&amp;G$115&amp;":"&amp;$R$114)</f>
        <v>#</v>
      </c>
      <c r="V289" s="82" t="str">
        <f>_xll.BLUEMATRIX2("/servlet/excelData",H289,$B$1,$B289&amp;":"&amp;H$115&amp;":"&amp;$R$114)</f>
        <v>#</v>
      </c>
      <c r="W289" s="82" t="str">
        <f>_xll.BLUEMATRIX2("/servlet/excelData",I289,$B$1,$B289&amp;":"&amp;I$115&amp;":"&amp;$R$114)</f>
        <v>#</v>
      </c>
      <c r="X289" s="82" t="str">
        <f>_xll.BLUEMATRIX2("/servlet/excelData",J289,$B$1,$B289&amp;":"&amp;J$115&amp;":"&amp;$R$114)</f>
        <v>#</v>
      </c>
      <c r="Y289" s="82" t="str">
        <f>_xll.BLUEMATRIX2("/servlet/excelData",K289,$B$1,$B289&amp;":"&amp;K$115&amp;":"&amp;$R$114)</f>
        <v>#</v>
      </c>
      <c r="Z289" s="82" t="str">
        <f>_xll.BLUEMATRIX2("/servlet/excelData",L289,$B$1,$B289&amp;":"&amp;L$115&amp;":"&amp;$R$114)</f>
        <v>#</v>
      </c>
      <c r="AA289" s="82" t="str">
        <f>_xll.BLUEMATRIX2("/servlet/excelData",M289,$B$1,$B289&amp;":"&amp;M$115&amp;":"&amp;$R$114)</f>
        <v>#</v>
      </c>
      <c r="AB289" s="82" t="str">
        <f>_xll.BLUEMATRIX2("/servlet/excelData",N289,$B$1,$B289&amp;":"&amp;N$115&amp;":"&amp;$R$114)</f>
        <v>#</v>
      </c>
      <c r="AC289" s="82" t="str">
        <f>_xll.BLUEMATRIX2("/servlet/excelData",O289,$B$1,$B289&amp;":"&amp;O$115&amp;":"&amp;$R$114)</f>
        <v>#</v>
      </c>
      <c r="AD289" s="82" t="str">
        <f>_xll.BLUEMATRIX2("/servlet/excelData",P289,$B$1,$B289&amp;":"&amp;P$115&amp;":"&amp;$R$114)</f>
        <v>#</v>
      </c>
      <c r="AE289" s="82" t="str">
        <f>_xll.BLUEMATRIX2("/servlet/excelData",Q289,$B$1,$B289&amp;":"&amp;Q$115&amp;":"&amp;$R$114)</f>
        <v>#</v>
      </c>
    </row>
    <row r="290" spans="1:31" ht="12.95" customHeight="1" x14ac:dyDescent="0.2">
      <c r="A290" s="26" t="s">
        <v>976</v>
      </c>
      <c r="B290" s="29" t="s">
        <v>977</v>
      </c>
      <c r="C290" s="165" t="s">
        <v>978</v>
      </c>
      <c r="D290" s="111"/>
      <c r="E290" s="154"/>
      <c r="F290" s="154"/>
      <c r="G290" s="154"/>
      <c r="H290" s="154"/>
      <c r="I290" s="154"/>
      <c r="J290" s="154"/>
      <c r="K290" s="154"/>
      <c r="L290" s="154"/>
      <c r="M290" s="154"/>
      <c r="N290" s="154"/>
      <c r="O290" s="154"/>
      <c r="P290" s="154"/>
      <c r="Q290" s="154"/>
      <c r="R290" s="168"/>
      <c r="S290" s="82" t="str">
        <f>_xll.BLUEMATRIX2("/servlet/excelData",E290,$B$1,$B290&amp;":"&amp;E$115&amp;":"&amp;$R$114)</f>
        <v>#</v>
      </c>
      <c r="T290" s="82" t="str">
        <f>_xll.BLUEMATRIX2("/servlet/excelData",F290,$B$1,$B290&amp;":"&amp;F$115&amp;":"&amp;$R$114)</f>
        <v>#</v>
      </c>
      <c r="U290" s="82" t="str">
        <f>_xll.BLUEMATRIX2("/servlet/excelData",G290,$B$1,$B290&amp;":"&amp;G$115&amp;":"&amp;$R$114)</f>
        <v>#</v>
      </c>
      <c r="V290" s="82" t="str">
        <f>_xll.BLUEMATRIX2("/servlet/excelData",H290,$B$1,$B290&amp;":"&amp;H$115&amp;":"&amp;$R$114)</f>
        <v>#</v>
      </c>
      <c r="W290" s="82" t="str">
        <f>_xll.BLUEMATRIX2("/servlet/excelData",I290,$B$1,$B290&amp;":"&amp;I$115&amp;":"&amp;$R$114)</f>
        <v>#</v>
      </c>
      <c r="X290" s="82" t="str">
        <f>_xll.BLUEMATRIX2("/servlet/excelData",J290,$B$1,$B290&amp;":"&amp;J$115&amp;":"&amp;$R$114)</f>
        <v>#</v>
      </c>
      <c r="Y290" s="82" t="str">
        <f>_xll.BLUEMATRIX2("/servlet/excelData",K290,$B$1,$B290&amp;":"&amp;K$115&amp;":"&amp;$R$114)</f>
        <v>#</v>
      </c>
      <c r="Z290" s="82" t="str">
        <f>_xll.BLUEMATRIX2("/servlet/excelData",L290,$B$1,$B290&amp;":"&amp;L$115&amp;":"&amp;$R$114)</f>
        <v>#</v>
      </c>
      <c r="AA290" s="82" t="str">
        <f>_xll.BLUEMATRIX2("/servlet/excelData",M290,$B$1,$B290&amp;":"&amp;M$115&amp;":"&amp;$R$114)</f>
        <v>#</v>
      </c>
      <c r="AB290" s="82" t="str">
        <f>_xll.BLUEMATRIX2("/servlet/excelData",N290,$B$1,$B290&amp;":"&amp;N$115&amp;":"&amp;$R$114)</f>
        <v>#</v>
      </c>
      <c r="AC290" s="82" t="str">
        <f>_xll.BLUEMATRIX2("/servlet/excelData",O290,$B$1,$B290&amp;":"&amp;O$115&amp;":"&amp;$R$114)</f>
        <v>#</v>
      </c>
      <c r="AD290" s="82" t="str">
        <f>_xll.BLUEMATRIX2("/servlet/excelData",P290,$B$1,$B290&amp;":"&amp;P$115&amp;":"&amp;$R$114)</f>
        <v>#</v>
      </c>
      <c r="AE290" s="82" t="str">
        <f>_xll.BLUEMATRIX2("/servlet/excelData",Q290,$B$1,$B290&amp;":"&amp;Q$115&amp;":"&amp;$R$114)</f>
        <v>#</v>
      </c>
    </row>
    <row r="291" spans="1:31" ht="12.95" customHeight="1" x14ac:dyDescent="0.2">
      <c r="A291" s="26" t="s">
        <v>979</v>
      </c>
      <c r="B291" s="29" t="s">
        <v>980</v>
      </c>
      <c r="C291" s="165" t="s">
        <v>981</v>
      </c>
      <c r="D291" s="111"/>
      <c r="E291" s="154"/>
      <c r="F291" s="154"/>
      <c r="G291" s="154"/>
      <c r="H291" s="154"/>
      <c r="I291" s="154"/>
      <c r="J291" s="154"/>
      <c r="K291" s="154"/>
      <c r="L291" s="154"/>
      <c r="M291" s="154"/>
      <c r="N291" s="154"/>
      <c r="O291" s="154"/>
      <c r="P291" s="154"/>
      <c r="Q291" s="154"/>
      <c r="R291" s="168"/>
      <c r="S291" s="82" t="str">
        <f>_xll.BLUEMATRIX2("/servlet/excelData",E291,$B$1,$B291&amp;":"&amp;E$115&amp;":"&amp;$R$114)</f>
        <v>#</v>
      </c>
      <c r="T291" s="82" t="str">
        <f>_xll.BLUEMATRIX2("/servlet/excelData",F291,$B$1,$B291&amp;":"&amp;F$115&amp;":"&amp;$R$114)</f>
        <v>#</v>
      </c>
      <c r="U291" s="82" t="str">
        <f>_xll.BLUEMATRIX2("/servlet/excelData",G291,$B$1,$B291&amp;":"&amp;G$115&amp;":"&amp;$R$114)</f>
        <v>#</v>
      </c>
      <c r="V291" s="82" t="str">
        <f>_xll.BLUEMATRIX2("/servlet/excelData",H291,$B$1,$B291&amp;":"&amp;H$115&amp;":"&amp;$R$114)</f>
        <v>#</v>
      </c>
      <c r="W291" s="82" t="str">
        <f>_xll.BLUEMATRIX2("/servlet/excelData",I291,$B$1,$B291&amp;":"&amp;I$115&amp;":"&amp;$R$114)</f>
        <v>#</v>
      </c>
      <c r="X291" s="82" t="str">
        <f>_xll.BLUEMATRIX2("/servlet/excelData",J291,$B$1,$B291&amp;":"&amp;J$115&amp;":"&amp;$R$114)</f>
        <v>#</v>
      </c>
      <c r="Y291" s="82" t="str">
        <f>_xll.BLUEMATRIX2("/servlet/excelData",K291,$B$1,$B291&amp;":"&amp;K$115&amp;":"&amp;$R$114)</f>
        <v>#</v>
      </c>
      <c r="Z291" s="82" t="str">
        <f>_xll.BLUEMATRIX2("/servlet/excelData",L291,$B$1,$B291&amp;":"&amp;L$115&amp;":"&amp;$R$114)</f>
        <v>#</v>
      </c>
      <c r="AA291" s="82" t="str">
        <f>_xll.BLUEMATRIX2("/servlet/excelData",M291,$B$1,$B291&amp;":"&amp;M$115&amp;":"&amp;$R$114)</f>
        <v>#</v>
      </c>
      <c r="AB291" s="82" t="str">
        <f>_xll.BLUEMATRIX2("/servlet/excelData",N291,$B$1,$B291&amp;":"&amp;N$115&amp;":"&amp;$R$114)</f>
        <v>#</v>
      </c>
      <c r="AC291" s="82" t="str">
        <f>_xll.BLUEMATRIX2("/servlet/excelData",O291,$B$1,$B291&amp;":"&amp;O$115&amp;":"&amp;$R$114)</f>
        <v>#</v>
      </c>
      <c r="AD291" s="82" t="str">
        <f>_xll.BLUEMATRIX2("/servlet/excelData",P291,$B$1,$B291&amp;":"&amp;P$115&amp;":"&amp;$R$114)</f>
        <v>#</v>
      </c>
      <c r="AE291" s="82" t="str">
        <f>_xll.BLUEMATRIX2("/servlet/excelData",Q291,$B$1,$B291&amp;":"&amp;Q$115&amp;":"&amp;$R$114)</f>
        <v>#</v>
      </c>
    </row>
    <row r="292" spans="1:31" ht="12.95" customHeight="1" x14ac:dyDescent="0.2">
      <c r="A292" s="26" t="s">
        <v>982</v>
      </c>
      <c r="B292" s="29" t="s">
        <v>983</v>
      </c>
      <c r="C292" s="165" t="s">
        <v>984</v>
      </c>
      <c r="D292" s="111"/>
      <c r="E292" s="154"/>
      <c r="F292" s="154"/>
      <c r="G292" s="154"/>
      <c r="H292" s="154"/>
      <c r="I292" s="154"/>
      <c r="J292" s="154"/>
      <c r="K292" s="154"/>
      <c r="L292" s="154"/>
      <c r="M292" s="154"/>
      <c r="N292" s="154"/>
      <c r="O292" s="154"/>
      <c r="P292" s="154"/>
      <c r="Q292" s="154"/>
      <c r="R292" s="168"/>
      <c r="S292" s="82" t="str">
        <f>_xll.BLUEMATRIX2("/servlet/excelData",E292,$B$1,$B292&amp;":"&amp;E$115&amp;":"&amp;$R$114)</f>
        <v>#</v>
      </c>
      <c r="T292" s="82" t="str">
        <f>_xll.BLUEMATRIX2("/servlet/excelData",F292,$B$1,$B292&amp;":"&amp;F$115&amp;":"&amp;$R$114)</f>
        <v>#</v>
      </c>
      <c r="U292" s="82" t="str">
        <f>_xll.BLUEMATRIX2("/servlet/excelData",G292,$B$1,$B292&amp;":"&amp;G$115&amp;":"&amp;$R$114)</f>
        <v>#</v>
      </c>
      <c r="V292" s="82" t="str">
        <f>_xll.BLUEMATRIX2("/servlet/excelData",H292,$B$1,$B292&amp;":"&amp;H$115&amp;":"&amp;$R$114)</f>
        <v>#</v>
      </c>
      <c r="W292" s="82" t="str">
        <f>_xll.BLUEMATRIX2("/servlet/excelData",I292,$B$1,$B292&amp;":"&amp;I$115&amp;":"&amp;$R$114)</f>
        <v>#</v>
      </c>
      <c r="X292" s="82" t="str">
        <f>_xll.BLUEMATRIX2("/servlet/excelData",J292,$B$1,$B292&amp;":"&amp;J$115&amp;":"&amp;$R$114)</f>
        <v>#</v>
      </c>
      <c r="Y292" s="82" t="str">
        <f>_xll.BLUEMATRIX2("/servlet/excelData",K292,$B$1,$B292&amp;":"&amp;K$115&amp;":"&amp;$R$114)</f>
        <v>#</v>
      </c>
      <c r="Z292" s="82" t="str">
        <f>_xll.BLUEMATRIX2("/servlet/excelData",L292,$B$1,$B292&amp;":"&amp;L$115&amp;":"&amp;$R$114)</f>
        <v>#</v>
      </c>
      <c r="AA292" s="82" t="str">
        <f>_xll.BLUEMATRIX2("/servlet/excelData",M292,$B$1,$B292&amp;":"&amp;M$115&amp;":"&amp;$R$114)</f>
        <v>#</v>
      </c>
      <c r="AB292" s="82" t="str">
        <f>_xll.BLUEMATRIX2("/servlet/excelData",N292,$B$1,$B292&amp;":"&amp;N$115&amp;":"&amp;$R$114)</f>
        <v>#</v>
      </c>
      <c r="AC292" s="82" t="str">
        <f>_xll.BLUEMATRIX2("/servlet/excelData",O292,$B$1,$B292&amp;":"&amp;O$115&amp;":"&amp;$R$114)</f>
        <v>#</v>
      </c>
      <c r="AD292" s="82" t="str">
        <f>_xll.BLUEMATRIX2("/servlet/excelData",P292,$B$1,$B292&amp;":"&amp;P$115&amp;":"&amp;$R$114)</f>
        <v>#</v>
      </c>
      <c r="AE292" s="82" t="str">
        <f>_xll.BLUEMATRIX2("/servlet/excelData",Q292,$B$1,$B292&amp;":"&amp;Q$115&amp;":"&amp;$R$114)</f>
        <v>#</v>
      </c>
    </row>
    <row r="293" spans="1:31" ht="12.95" customHeight="1" x14ac:dyDescent="0.2">
      <c r="A293" s="26"/>
      <c r="B293" s="29"/>
      <c r="C293" s="169"/>
      <c r="D293" s="168"/>
      <c r="E293" s="168"/>
      <c r="F293" s="168"/>
      <c r="G293" s="168"/>
      <c r="H293" s="168"/>
      <c r="I293" s="168"/>
      <c r="J293" s="168"/>
      <c r="K293" s="168"/>
      <c r="L293" s="168"/>
      <c r="M293" s="168"/>
      <c r="N293" s="168"/>
      <c r="O293" s="168"/>
      <c r="P293" s="168"/>
      <c r="Q293" s="168"/>
      <c r="R293" s="168"/>
      <c r="S293" s="82"/>
      <c r="T293" s="82"/>
      <c r="U293" s="82"/>
      <c r="V293" s="82"/>
      <c r="W293" s="82"/>
      <c r="X293" s="82"/>
      <c r="Y293" s="82"/>
      <c r="Z293" s="82"/>
      <c r="AA293" s="82"/>
      <c r="AB293" s="82"/>
      <c r="AC293" s="82"/>
      <c r="AD293" s="82"/>
      <c r="AE293" s="82"/>
    </row>
    <row r="294" spans="1:31" ht="12.95" customHeight="1" x14ac:dyDescent="0.2">
      <c r="A294" s="26"/>
      <c r="B294" s="29"/>
      <c r="C294" s="169"/>
      <c r="D294" s="170"/>
      <c r="E294" s="170"/>
      <c r="F294" s="170"/>
      <c r="G294" s="170"/>
      <c r="H294" s="170"/>
      <c r="I294" s="170"/>
      <c r="J294" s="170"/>
      <c r="K294" s="170"/>
      <c r="L294" s="170"/>
      <c r="M294" s="170"/>
      <c r="N294" s="170"/>
      <c r="O294" s="170"/>
      <c r="P294" s="170"/>
      <c r="Q294" s="170"/>
      <c r="R294" s="1"/>
      <c r="S294" s="82"/>
      <c r="T294" s="82"/>
      <c r="U294" s="82"/>
      <c r="V294" s="82"/>
      <c r="W294" s="82"/>
      <c r="X294" s="82"/>
      <c r="Y294" s="82"/>
      <c r="Z294" s="82"/>
      <c r="AA294" s="82"/>
      <c r="AB294" s="82"/>
      <c r="AC294" s="82"/>
      <c r="AD294" s="82"/>
      <c r="AE294" s="82"/>
    </row>
    <row r="295" spans="1:31" ht="15" customHeight="1" x14ac:dyDescent="0.2">
      <c r="A295" s="148"/>
      <c r="B295" s="29"/>
      <c r="C295" s="107" t="s">
        <v>985</v>
      </c>
      <c r="D295" s="171"/>
      <c r="E295" s="108"/>
      <c r="F295" s="171"/>
      <c r="G295" s="108"/>
      <c r="H295" s="171"/>
      <c r="I295" s="171"/>
      <c r="J295" s="171"/>
      <c r="K295" s="171"/>
      <c r="L295" s="171"/>
      <c r="M295" s="171"/>
      <c r="N295" s="171"/>
      <c r="O295" s="171"/>
      <c r="P295" s="171"/>
      <c r="Q295" s="171"/>
      <c r="R295" s="1"/>
      <c r="S295" s="82"/>
      <c r="T295" s="82"/>
      <c r="U295" s="82"/>
      <c r="V295" s="82"/>
      <c r="W295" s="82"/>
      <c r="X295" s="82"/>
      <c r="Y295" s="82"/>
      <c r="Z295" s="82"/>
      <c r="AA295" s="82"/>
      <c r="AB295" s="82"/>
      <c r="AC295" s="82"/>
      <c r="AD295" s="82"/>
      <c r="AE295" s="82"/>
    </row>
    <row r="296" spans="1:31" ht="12.95" customHeight="1" x14ac:dyDescent="0.2">
      <c r="A296" s="26" t="s">
        <v>986</v>
      </c>
      <c r="B296" s="29" t="s">
        <v>987</v>
      </c>
      <c r="C296" s="172" t="s">
        <v>988</v>
      </c>
      <c r="D296" s="173"/>
      <c r="E296" s="174"/>
      <c r="F296" s="174" t="e">
        <f t="shared" ref="F296:Q296" si="45">IF(ISERROR(F169/F287),"nm",F169/F287)*100</f>
        <v>#VALUE!</v>
      </c>
      <c r="G296" s="174" t="e">
        <f t="shared" si="45"/>
        <v>#VALUE!</v>
      </c>
      <c r="H296" s="174">
        <f t="shared" si="45"/>
        <v>0.7262481918925956</v>
      </c>
      <c r="I296" s="174">
        <f t="shared" si="45"/>
        <v>-1.9982392047061248</v>
      </c>
      <c r="J296" s="174">
        <f t="shared" si="45"/>
        <v>0.34459552315098196</v>
      </c>
      <c r="K296" s="174">
        <f t="shared" si="45"/>
        <v>0.61845514546446334</v>
      </c>
      <c r="L296" s="174">
        <f t="shared" si="45"/>
        <v>0.81264496079026283</v>
      </c>
      <c r="M296" s="174">
        <f t="shared" si="45"/>
        <v>1.0018446107847354</v>
      </c>
      <c r="N296" s="174">
        <f t="shared" si="45"/>
        <v>1.1735372835081244</v>
      </c>
      <c r="O296" s="174">
        <f t="shared" si="45"/>
        <v>1.2746408444977317</v>
      </c>
      <c r="P296" s="174">
        <f t="shared" si="45"/>
        <v>1.3762881295776224</v>
      </c>
      <c r="Q296" s="174">
        <f t="shared" si="45"/>
        <v>1.4784061887713322</v>
      </c>
      <c r="R296" s="175"/>
      <c r="S296" s="82" t="str">
        <f>_xll.BLUEMATRIX2("/servlet/excelData",E296,$B$1,$B296&amp;":"&amp;E$115&amp;":"&amp;$R$114)</f>
        <v>#</v>
      </c>
      <c r="T296" s="82" t="e">
        <f>_xll.BLUEMATRIX2("/servlet/excelData",F296,$B$1,$B296&amp;":"&amp;F$115&amp;":"&amp;$R$114)</f>
        <v>#VALUE!</v>
      </c>
      <c r="U296" s="82" t="e">
        <f>_xll.BLUEMATRIX2("/servlet/excelData",G296,$B$1,$B296&amp;":"&amp;G$115&amp;":"&amp;$R$114)</f>
        <v>#VALUE!</v>
      </c>
      <c r="V296" s="82" t="str">
        <f>_xll.BLUEMATRIX2("/servlet/excelData",H296,$B$1,$B296&amp;":"&amp;H$115&amp;":"&amp;$R$114)</f>
        <v>#</v>
      </c>
      <c r="W296" s="82" t="str">
        <f>_xll.BLUEMATRIX2("/servlet/excelData",I296,$B$1,$B296&amp;":"&amp;I$115&amp;":"&amp;$R$114)</f>
        <v>#</v>
      </c>
      <c r="X296" s="82" t="str">
        <f>_xll.BLUEMATRIX2("/servlet/excelData",J296,$B$1,$B296&amp;":"&amp;J$115&amp;":"&amp;$R$114)</f>
        <v>#</v>
      </c>
      <c r="Y296" s="82" t="str">
        <f>_xll.BLUEMATRIX2("/servlet/excelData",K296,$B$1,$B296&amp;":"&amp;K$115&amp;":"&amp;$R$114)</f>
        <v>#</v>
      </c>
      <c r="Z296" s="82" t="str">
        <f>_xll.BLUEMATRIX2("/servlet/excelData",L296,$B$1,$B296&amp;":"&amp;L$115&amp;":"&amp;$R$114)</f>
        <v>#</v>
      </c>
      <c r="AA296" s="82" t="str">
        <f>_xll.BLUEMATRIX2("/servlet/excelData",M296,$B$1,$B296&amp;":"&amp;M$115&amp;":"&amp;$R$114)</f>
        <v>#</v>
      </c>
      <c r="AB296" s="82" t="str">
        <f>_xll.BLUEMATRIX2("/servlet/excelData",N296,$B$1,$B296&amp;":"&amp;N$115&amp;":"&amp;$R$114)</f>
        <v>#</v>
      </c>
      <c r="AC296" s="82" t="str">
        <f>_xll.BLUEMATRIX2("/servlet/excelData",O296,$B$1,$B296&amp;":"&amp;O$115&amp;":"&amp;$R$114)</f>
        <v>#</v>
      </c>
      <c r="AD296" s="82" t="str">
        <f>_xll.BLUEMATRIX2("/servlet/excelData",P296,$B$1,$B296&amp;":"&amp;P$115&amp;":"&amp;$R$114)</f>
        <v>#</v>
      </c>
      <c r="AE296" s="82" t="str">
        <f>_xll.BLUEMATRIX2("/servlet/excelData",Q296,$B$1,$B296&amp;":"&amp;Q$115&amp;":"&amp;$R$114)</f>
        <v>#</v>
      </c>
    </row>
    <row r="297" spans="1:31" ht="12.95" customHeight="1" x14ac:dyDescent="0.2">
      <c r="A297" s="26" t="s">
        <v>989</v>
      </c>
      <c r="B297" s="29" t="s">
        <v>355</v>
      </c>
      <c r="C297" s="172" t="s">
        <v>990</v>
      </c>
      <c r="D297" s="173"/>
      <c r="E297" s="490"/>
      <c r="F297" s="489">
        <f>FY!F126</f>
        <v>0</v>
      </c>
      <c r="G297" s="489">
        <f>FY!G126</f>
        <v>0</v>
      </c>
      <c r="H297" s="489">
        <f>FY!H126</f>
        <v>-2.31</v>
      </c>
      <c r="I297" s="489">
        <f>FY!I126</f>
        <v>-3.88</v>
      </c>
      <c r="J297" s="489">
        <f>FY!J126</f>
        <v>-0.47903149345425516</v>
      </c>
      <c r="K297" s="489">
        <f>FY!K126</f>
        <v>9.0519474243047501E-2</v>
      </c>
      <c r="L297" s="489">
        <f>FY!L126</f>
        <v>0.5950956605995954</v>
      </c>
      <c r="M297" s="489">
        <f>FY!M126</f>
        <v>0.78513287730854342</v>
      </c>
      <c r="N297" s="489">
        <f>FY!N126</f>
        <v>0.95433641160811256</v>
      </c>
      <c r="O297" s="489">
        <f>FY!O126</f>
        <v>1.0457007470877624</v>
      </c>
      <c r="P297" s="489">
        <f>FY!P126</f>
        <v>1.1371762711383662</v>
      </c>
      <c r="Q297" s="489">
        <f>FY!Q126</f>
        <v>1.2286721185654841</v>
      </c>
      <c r="R297" s="175"/>
      <c r="S297" s="82" t="str">
        <f>_xll.BLUEMATRIX2("/servlet/excelData",E297,$B$1,$B297&amp;":"&amp;E$115&amp;":"&amp;$R$114)</f>
        <v>#</v>
      </c>
      <c r="T297" s="82" t="str">
        <f>_xll.BLUEMATRIX2("/servlet/excelData",F297,$B$1,$B297&amp;":"&amp;F$115&amp;":"&amp;$R$114)</f>
        <v>#</v>
      </c>
      <c r="U297" s="82" t="str">
        <f>_xll.BLUEMATRIX2("/servlet/excelData",G297,$B$1,$B297&amp;":"&amp;G$115&amp;":"&amp;$R$114)</f>
        <v>#</v>
      </c>
      <c r="V297" s="82" t="str">
        <f>_xll.BLUEMATRIX2("/servlet/excelData",H297,$B$1,$B297&amp;":"&amp;H$115&amp;":"&amp;$R$114)</f>
        <v>#</v>
      </c>
      <c r="W297" s="82" t="str">
        <f>_xll.BLUEMATRIX2("/servlet/excelData",I297,$B$1,$B297&amp;":"&amp;I$115&amp;":"&amp;$R$114)</f>
        <v>#</v>
      </c>
      <c r="X297" s="82" t="str">
        <f>_xll.BLUEMATRIX2("/servlet/excelData",J297,$B$1,$B297&amp;":"&amp;J$115&amp;":"&amp;$R$114)</f>
        <v>#</v>
      </c>
      <c r="Y297" s="82" t="str">
        <f>_xll.BLUEMATRIX2("/servlet/excelData",K297,$B$1,$B297&amp;":"&amp;K$115&amp;":"&amp;$R$114)</f>
        <v>#</v>
      </c>
      <c r="Z297" s="82" t="str">
        <f>_xll.BLUEMATRIX2("/servlet/excelData",L297,$B$1,$B297&amp;":"&amp;L$115&amp;":"&amp;$R$114)</f>
        <v>#</v>
      </c>
      <c r="AA297" s="82" t="str">
        <f>_xll.BLUEMATRIX2("/servlet/excelData",M297,$B$1,$B297&amp;":"&amp;M$115&amp;":"&amp;$R$114)</f>
        <v>#</v>
      </c>
      <c r="AB297" s="82" t="str">
        <f>_xll.BLUEMATRIX2("/servlet/excelData",N297,$B$1,$B297&amp;":"&amp;N$115&amp;":"&amp;$R$114)</f>
        <v>#</v>
      </c>
      <c r="AC297" s="82" t="str">
        <f>_xll.BLUEMATRIX2("/servlet/excelData",O297,$B$1,$B297&amp;":"&amp;O$115&amp;":"&amp;$R$114)</f>
        <v>#</v>
      </c>
      <c r="AD297" s="82" t="str">
        <f>_xll.BLUEMATRIX2("/servlet/excelData",P297,$B$1,$B297&amp;":"&amp;P$115&amp;":"&amp;$R$114)</f>
        <v>#</v>
      </c>
      <c r="AE297" s="82" t="str">
        <f>_xll.BLUEMATRIX2("/servlet/excelData",Q297,$B$1,$B297&amp;":"&amp;Q$115&amp;":"&amp;$R$114)</f>
        <v>#</v>
      </c>
    </row>
    <row r="298" spans="1:31" ht="12.95" customHeight="1" x14ac:dyDescent="0.2">
      <c r="A298" s="26" t="s">
        <v>991</v>
      </c>
      <c r="B298" s="29" t="s">
        <v>992</v>
      </c>
      <c r="C298" s="172" t="s">
        <v>993</v>
      </c>
      <c r="D298" s="176"/>
      <c r="E298" s="174"/>
      <c r="F298" s="174" t="e">
        <f>IF(ISERROR(F176/F287),"nm",F176/F287)*100</f>
        <v>#VALUE!</v>
      </c>
      <c r="G298" s="174" t="e">
        <f t="shared" ref="G298:Q298" si="46">IF(ISERROR(G176/G287),"nm",G176/G287)*100</f>
        <v>#VALUE!</v>
      </c>
      <c r="H298" s="174">
        <f t="shared" si="46"/>
        <v>0.7262481918925956</v>
      </c>
      <c r="I298" s="174">
        <f t="shared" si="46"/>
        <v>-1.9982392047061253</v>
      </c>
      <c r="J298" s="174">
        <f t="shared" si="46"/>
        <v>0.34459552315098196</v>
      </c>
      <c r="K298" s="174">
        <f t="shared" si="46"/>
        <v>0.61845514546446334</v>
      </c>
      <c r="L298" s="174">
        <f t="shared" si="46"/>
        <v>0.81264496079026283</v>
      </c>
      <c r="M298" s="174">
        <f t="shared" si="46"/>
        <v>1.0018446107847354</v>
      </c>
      <c r="N298" s="174">
        <f t="shared" si="46"/>
        <v>1.1735372835081244</v>
      </c>
      <c r="O298" s="174">
        <f t="shared" si="46"/>
        <v>1.2746408444977317</v>
      </c>
      <c r="P298" s="174">
        <f t="shared" si="46"/>
        <v>1.3762881295776224</v>
      </c>
      <c r="Q298" s="174">
        <f t="shared" si="46"/>
        <v>1.4784061887713322</v>
      </c>
      <c r="R298" s="175"/>
      <c r="S298" s="82" t="str">
        <f>_xll.BLUEMATRIX2("/servlet/excelData",E298,$B$1,$B298&amp;":"&amp;E$115&amp;":"&amp;$R$114)</f>
        <v>#</v>
      </c>
      <c r="T298" s="82" t="e">
        <f>_xll.BLUEMATRIX2("/servlet/excelData",F298,$B$1,$B298&amp;":"&amp;F$115&amp;":"&amp;$R$114)</f>
        <v>#VALUE!</v>
      </c>
      <c r="U298" s="82" t="e">
        <f>_xll.BLUEMATRIX2("/servlet/excelData",G298,$B$1,$B298&amp;":"&amp;G$115&amp;":"&amp;$R$114)</f>
        <v>#VALUE!</v>
      </c>
      <c r="V298" s="82" t="str">
        <f>_xll.BLUEMATRIX2("/servlet/excelData",H298,$B$1,$B298&amp;":"&amp;H$115&amp;":"&amp;$R$114)</f>
        <v>#</v>
      </c>
      <c r="W298" s="82" t="str">
        <f>_xll.BLUEMATRIX2("/servlet/excelData",I298,$B$1,$B298&amp;":"&amp;I$115&amp;":"&amp;$R$114)</f>
        <v>#</v>
      </c>
      <c r="X298" s="82" t="str">
        <f>_xll.BLUEMATRIX2("/servlet/excelData",J298,$B$1,$B298&amp;":"&amp;J$115&amp;":"&amp;$R$114)</f>
        <v>#</v>
      </c>
      <c r="Y298" s="82" t="str">
        <f>_xll.BLUEMATRIX2("/servlet/excelData",K298,$B$1,$B298&amp;":"&amp;K$115&amp;":"&amp;$R$114)</f>
        <v>#</v>
      </c>
      <c r="Z298" s="82" t="str">
        <f>_xll.BLUEMATRIX2("/servlet/excelData",L298,$B$1,$B298&amp;":"&amp;L$115&amp;":"&amp;$R$114)</f>
        <v>#</v>
      </c>
      <c r="AA298" s="82" t="str">
        <f>_xll.BLUEMATRIX2("/servlet/excelData",M298,$B$1,$B298&amp;":"&amp;M$115&amp;":"&amp;$R$114)</f>
        <v>#</v>
      </c>
      <c r="AB298" s="82" t="str">
        <f>_xll.BLUEMATRIX2("/servlet/excelData",N298,$B$1,$B298&amp;":"&amp;N$115&amp;":"&amp;$R$114)</f>
        <v>#</v>
      </c>
      <c r="AC298" s="82" t="str">
        <f>_xll.BLUEMATRIX2("/servlet/excelData",O298,$B$1,$B298&amp;":"&amp;O$115&amp;":"&amp;$R$114)</f>
        <v>#</v>
      </c>
      <c r="AD298" s="82" t="str">
        <f>_xll.BLUEMATRIX2("/servlet/excelData",P298,$B$1,$B298&amp;":"&amp;P$115&amp;":"&amp;$R$114)</f>
        <v>#</v>
      </c>
      <c r="AE298" s="82" t="str">
        <f>_xll.BLUEMATRIX2("/servlet/excelData",Q298,$B$1,$B298&amp;":"&amp;Q$115&amp;":"&amp;$R$114)</f>
        <v>#</v>
      </c>
    </row>
    <row r="299" spans="1:31" ht="12.95" customHeight="1" x14ac:dyDescent="0.2">
      <c r="A299" s="26"/>
      <c r="B299" s="29" t="s">
        <v>994</v>
      </c>
      <c r="C299" s="172" t="s">
        <v>995</v>
      </c>
      <c r="D299" s="173"/>
      <c r="E299" s="177"/>
      <c r="F299" s="177" t="e">
        <f t="shared" ref="F299:Q299" si="47">+F298/E298-1</f>
        <v>#VALUE!</v>
      </c>
      <c r="G299" s="177" t="e">
        <f t="shared" si="47"/>
        <v>#VALUE!</v>
      </c>
      <c r="H299" s="177" t="e">
        <f t="shared" si="47"/>
        <v>#VALUE!</v>
      </c>
      <c r="I299" s="177">
        <f t="shared" si="47"/>
        <v>-3.7514549805607551</v>
      </c>
      <c r="J299" s="177">
        <f t="shared" si="47"/>
        <v>-1.1724495857850314</v>
      </c>
      <c r="K299" s="177">
        <f t="shared" si="47"/>
        <v>0.79472774286011783</v>
      </c>
      <c r="L299" s="177">
        <f t="shared" si="47"/>
        <v>0.31399175308010707</v>
      </c>
      <c r="M299" s="177">
        <f t="shared" si="47"/>
        <v>0.23281956958237204</v>
      </c>
      <c r="N299" s="177">
        <f t="shared" si="47"/>
        <v>0.17137654969157712</v>
      </c>
      <c r="O299" s="177">
        <f t="shared" si="47"/>
        <v>8.6152832475311358E-2</v>
      </c>
      <c r="P299" s="177">
        <f t="shared" si="47"/>
        <v>7.9745824495326412E-2</v>
      </c>
      <c r="Q299" s="177">
        <f t="shared" si="47"/>
        <v>7.419816897283682E-2</v>
      </c>
      <c r="R299" s="175"/>
      <c r="S299" s="82" t="str">
        <f>_xll.BLUEMATRIX2("/servlet/excelData",E299,$B$1,$B299&amp;":"&amp;E$115&amp;":"&amp;$R$114)</f>
        <v>#</v>
      </c>
      <c r="T299" s="82" t="e">
        <f>_xll.BLUEMATRIX2("/servlet/excelData",F299,$B$1,$B299&amp;":"&amp;F$115&amp;":"&amp;$R$114)</f>
        <v>#VALUE!</v>
      </c>
      <c r="U299" s="82" t="e">
        <f>_xll.BLUEMATRIX2("/servlet/excelData",G299,$B$1,$B299&amp;":"&amp;G$115&amp;":"&amp;$R$114)</f>
        <v>#VALUE!</v>
      </c>
      <c r="V299" s="82" t="e">
        <f>_xll.BLUEMATRIX2("/servlet/excelData",H299,$B$1,$B299&amp;":"&amp;H$115&amp;":"&amp;$R$114)</f>
        <v>#VALUE!</v>
      </c>
      <c r="W299" s="82" t="str">
        <f>_xll.BLUEMATRIX2("/servlet/excelData",I299,$B$1,$B299&amp;":"&amp;I$115&amp;":"&amp;$R$114)</f>
        <v>#</v>
      </c>
      <c r="X299" s="82" t="str">
        <f>_xll.BLUEMATRIX2("/servlet/excelData",J299,$B$1,$B299&amp;":"&amp;J$115&amp;":"&amp;$R$114)</f>
        <v>#</v>
      </c>
      <c r="Y299" s="82" t="str">
        <f>_xll.BLUEMATRIX2("/servlet/excelData",K299,$B$1,$B299&amp;":"&amp;K$115&amp;":"&amp;$R$114)</f>
        <v>#</v>
      </c>
      <c r="Z299" s="82" t="str">
        <f>_xll.BLUEMATRIX2("/servlet/excelData",L299,$B$1,$B299&amp;":"&amp;L$115&amp;":"&amp;$R$114)</f>
        <v>#</v>
      </c>
      <c r="AA299" s="82" t="str">
        <f>_xll.BLUEMATRIX2("/servlet/excelData",M299,$B$1,$B299&amp;":"&amp;M$115&amp;":"&amp;$R$114)</f>
        <v>#</v>
      </c>
      <c r="AB299" s="82" t="str">
        <f>_xll.BLUEMATRIX2("/servlet/excelData",N299,$B$1,$B299&amp;":"&amp;N$115&amp;":"&amp;$R$114)</f>
        <v>#</v>
      </c>
      <c r="AC299" s="82" t="str">
        <f>_xll.BLUEMATRIX2("/servlet/excelData",O299,$B$1,$B299&amp;":"&amp;O$115&amp;":"&amp;$R$114)</f>
        <v>#</v>
      </c>
      <c r="AD299" s="82" t="str">
        <f>_xll.BLUEMATRIX2("/servlet/excelData",P299,$B$1,$B299&amp;":"&amp;P$115&amp;":"&amp;$R$114)</f>
        <v>#</v>
      </c>
      <c r="AE299" s="82" t="str">
        <f>_xll.BLUEMATRIX2("/servlet/excelData",Q299,$B$1,$B299&amp;":"&amp;Q$115&amp;":"&amp;$R$114)</f>
        <v>#</v>
      </c>
    </row>
    <row r="300" spans="1:31" ht="12.95" customHeight="1" x14ac:dyDescent="0.2">
      <c r="A300" s="26"/>
      <c r="B300" s="29" t="s">
        <v>358</v>
      </c>
      <c r="C300" s="172" t="s">
        <v>996</v>
      </c>
      <c r="D300" s="178"/>
      <c r="E300" s="178"/>
      <c r="F300" s="178" t="e">
        <f t="shared" ref="F300:Q300" si="48">F18/F298</f>
        <v>#VALUE!</v>
      </c>
      <c r="G300" s="178" t="e">
        <f t="shared" si="48"/>
        <v>#VALUE!</v>
      </c>
      <c r="H300" s="178">
        <f t="shared" si="48"/>
        <v>0.37177373109375006</v>
      </c>
      <c r="I300" s="178">
        <f t="shared" si="48"/>
        <v>-9.5083711475845406E-2</v>
      </c>
      <c r="J300" s="178">
        <f t="shared" si="48"/>
        <v>0.58353064205914662</v>
      </c>
      <c r="K300" s="178">
        <f t="shared" si="48"/>
        <v>0.34410009037900524</v>
      </c>
      <c r="L300" s="178">
        <f t="shared" si="48"/>
        <v>0.27714806044490481</v>
      </c>
      <c r="M300" s="178">
        <f t="shared" si="48"/>
        <v>0.23792058574602334</v>
      </c>
      <c r="N300" s="178">
        <f t="shared" si="48"/>
        <v>0.21495878138150676</v>
      </c>
      <c r="O300" s="178">
        <f t="shared" si="48"/>
        <v>0.2094517285014309</v>
      </c>
      <c r="P300" s="178">
        <f t="shared" si="48"/>
        <v>0.20529676781867673</v>
      </c>
      <c r="Q300" s="178">
        <f t="shared" si="48"/>
        <v>0.20226344528743556</v>
      </c>
      <c r="R300" s="175"/>
      <c r="S300" s="82" t="str">
        <f>_xll.BLUEMATRIX2("/servlet/excelData",E300,$B$1,$B300&amp;":"&amp;E$115&amp;":"&amp;$R$114)</f>
        <v>#</v>
      </c>
      <c r="T300" s="82" t="e">
        <f>_xll.BLUEMATRIX2("/servlet/excelData",F300,$B$1,$B300&amp;":"&amp;F$115&amp;":"&amp;$R$114)</f>
        <v>#VALUE!</v>
      </c>
      <c r="U300" s="82" t="e">
        <f>_xll.BLUEMATRIX2("/servlet/excelData",G300,$B$1,$B300&amp;":"&amp;G$115&amp;":"&amp;$R$114)</f>
        <v>#VALUE!</v>
      </c>
      <c r="V300" s="82" t="str">
        <f>_xll.BLUEMATRIX2("/servlet/excelData",H300,$B$1,$B300&amp;":"&amp;H$115&amp;":"&amp;$R$114)</f>
        <v>#</v>
      </c>
      <c r="W300" s="82" t="str">
        <f>_xll.BLUEMATRIX2("/servlet/excelData",I300,$B$1,$B300&amp;":"&amp;I$115&amp;":"&amp;$R$114)</f>
        <v>#</v>
      </c>
      <c r="X300" s="82" t="str">
        <f>_xll.BLUEMATRIX2("/servlet/excelData",J300,$B$1,$B300&amp;":"&amp;J$115&amp;":"&amp;$R$114)</f>
        <v>#</v>
      </c>
      <c r="Y300" s="82" t="str">
        <f>_xll.BLUEMATRIX2("/servlet/excelData",K300,$B$1,$B300&amp;":"&amp;K$115&amp;":"&amp;$R$114)</f>
        <v>#</v>
      </c>
      <c r="Z300" s="82" t="str">
        <f>_xll.BLUEMATRIX2("/servlet/excelData",L300,$B$1,$B300&amp;":"&amp;L$115&amp;":"&amp;$R$114)</f>
        <v>#</v>
      </c>
      <c r="AA300" s="82" t="str">
        <f>_xll.BLUEMATRIX2("/servlet/excelData",M300,$B$1,$B300&amp;":"&amp;M$115&amp;":"&amp;$R$114)</f>
        <v>#</v>
      </c>
      <c r="AB300" s="82" t="str">
        <f>_xll.BLUEMATRIX2("/servlet/excelData",N300,$B$1,$B300&amp;":"&amp;N$115&amp;":"&amp;$R$114)</f>
        <v>#</v>
      </c>
      <c r="AC300" s="82" t="str">
        <f>_xll.BLUEMATRIX2("/servlet/excelData",O300,$B$1,$B300&amp;":"&amp;O$115&amp;":"&amp;$R$114)</f>
        <v>#</v>
      </c>
      <c r="AD300" s="82" t="str">
        <f>_xll.BLUEMATRIX2("/servlet/excelData",P300,$B$1,$B300&amp;":"&amp;P$115&amp;":"&amp;$R$114)</f>
        <v>#</v>
      </c>
      <c r="AE300" s="82" t="str">
        <f>_xll.BLUEMATRIX2("/servlet/excelData",Q300,$B$1,$B300&amp;":"&amp;Q$115&amp;":"&amp;$R$114)</f>
        <v>#</v>
      </c>
    </row>
    <row r="301" spans="1:31" ht="12.95" customHeight="1" x14ac:dyDescent="0.2">
      <c r="A301" s="26"/>
      <c r="B301" s="29" t="s">
        <v>997</v>
      </c>
      <c r="C301" s="172" t="s">
        <v>998</v>
      </c>
      <c r="D301" s="173"/>
      <c r="E301" s="173"/>
      <c r="F301" s="173" t="e">
        <f t="shared" ref="F301:Q301" si="49">+IF(F300="0",0,F300/F299)</f>
        <v>#VALUE!</v>
      </c>
      <c r="G301" s="173" t="e">
        <f t="shared" si="49"/>
        <v>#VALUE!</v>
      </c>
      <c r="H301" s="173" t="e">
        <f t="shared" si="49"/>
        <v>#VALUE!</v>
      </c>
      <c r="I301" s="173">
        <f t="shared" si="49"/>
        <v>2.5345822345876214E-2</v>
      </c>
      <c r="J301" s="173">
        <f t="shared" si="49"/>
        <v>-0.49770211797075675</v>
      </c>
      <c r="K301" s="173">
        <f t="shared" si="49"/>
        <v>0.43297858099257425</v>
      </c>
      <c r="L301" s="173">
        <f t="shared" si="49"/>
        <v>0.88266031743259665</v>
      </c>
      <c r="M301" s="173">
        <f t="shared" si="49"/>
        <v>1.0219097396872669</v>
      </c>
      <c r="N301" s="173">
        <f t="shared" si="49"/>
        <v>1.2543068568503899</v>
      </c>
      <c r="O301" s="173">
        <f t="shared" si="49"/>
        <v>2.4311647392609297</v>
      </c>
      <c r="P301" s="173">
        <f t="shared" si="49"/>
        <v>2.5743889303032832</v>
      </c>
      <c r="Q301" s="173">
        <f t="shared" si="49"/>
        <v>2.7259897122458927</v>
      </c>
      <c r="R301" s="175"/>
      <c r="S301" s="82" t="str">
        <f>_xll.BLUEMATRIX2("/servlet/excelData",E301,$B$1,$B301&amp;":"&amp;E$115&amp;":"&amp;$R$114)</f>
        <v>#</v>
      </c>
      <c r="T301" s="82" t="e">
        <f>_xll.BLUEMATRIX2("/servlet/excelData",F301,$B$1,$B301&amp;":"&amp;F$115&amp;":"&amp;$R$114)</f>
        <v>#VALUE!</v>
      </c>
      <c r="U301" s="82" t="e">
        <f>_xll.BLUEMATRIX2("/servlet/excelData",G301,$B$1,$B301&amp;":"&amp;G$115&amp;":"&amp;$R$114)</f>
        <v>#VALUE!</v>
      </c>
      <c r="V301" s="82" t="e">
        <f>_xll.BLUEMATRIX2("/servlet/excelData",H301,$B$1,$B301&amp;":"&amp;H$115&amp;":"&amp;$R$114)</f>
        <v>#VALUE!</v>
      </c>
      <c r="W301" s="82" t="str">
        <f>_xll.BLUEMATRIX2("/servlet/excelData",I301,$B$1,$B301&amp;":"&amp;I$115&amp;":"&amp;$R$114)</f>
        <v>#</v>
      </c>
      <c r="X301" s="82" t="str">
        <f>_xll.BLUEMATRIX2("/servlet/excelData",J301,$B$1,$B301&amp;":"&amp;J$115&amp;":"&amp;$R$114)</f>
        <v>#</v>
      </c>
      <c r="Y301" s="82" t="str">
        <f>_xll.BLUEMATRIX2("/servlet/excelData",K301,$B$1,$B301&amp;":"&amp;K$115&amp;":"&amp;$R$114)</f>
        <v>#</v>
      </c>
      <c r="Z301" s="82" t="str">
        <f>_xll.BLUEMATRIX2("/servlet/excelData",L301,$B$1,$B301&amp;":"&amp;L$115&amp;":"&amp;$R$114)</f>
        <v>#</v>
      </c>
      <c r="AA301" s="82" t="str">
        <f>_xll.BLUEMATRIX2("/servlet/excelData",M301,$B$1,$B301&amp;":"&amp;M$115&amp;":"&amp;$R$114)</f>
        <v>#</v>
      </c>
      <c r="AB301" s="82" t="str">
        <f>_xll.BLUEMATRIX2("/servlet/excelData",N301,$B$1,$B301&amp;":"&amp;N$115&amp;":"&amp;$R$114)</f>
        <v>#</v>
      </c>
      <c r="AC301" s="82" t="str">
        <f>_xll.BLUEMATRIX2("/servlet/excelData",O301,$B$1,$B301&amp;":"&amp;O$115&amp;":"&amp;$R$114)</f>
        <v>#</v>
      </c>
      <c r="AD301" s="82" t="str">
        <f>_xll.BLUEMATRIX2("/servlet/excelData",P301,$B$1,$B301&amp;":"&amp;P$115&amp;":"&amp;$R$114)</f>
        <v>#</v>
      </c>
      <c r="AE301" s="82" t="str">
        <f>_xll.BLUEMATRIX2("/servlet/excelData",Q301,$B$1,$B301&amp;":"&amp;Q$115&amp;":"&amp;$R$114)</f>
        <v>#</v>
      </c>
    </row>
    <row r="302" spans="1:31" ht="12.95" customHeight="1" x14ac:dyDescent="0.2">
      <c r="A302" s="26" t="s">
        <v>999</v>
      </c>
      <c r="B302" s="29" t="s">
        <v>93</v>
      </c>
      <c r="C302" s="167" t="s">
        <v>1000</v>
      </c>
      <c r="D302" s="179"/>
      <c r="E302" s="491"/>
      <c r="F302" s="489">
        <f>FY!F129</f>
        <v>0</v>
      </c>
      <c r="G302" s="489">
        <f>FY!G129</f>
        <v>0</v>
      </c>
      <c r="H302" s="489">
        <f>FY!H129</f>
        <v>0</v>
      </c>
      <c r="I302" s="489">
        <f>FY!I129</f>
        <v>0</v>
      </c>
      <c r="J302" s="489">
        <f>FY!J129</f>
        <v>0</v>
      </c>
      <c r="K302" s="489">
        <f>FY!K129</f>
        <v>0</v>
      </c>
      <c r="L302" s="489">
        <f>FY!L129</f>
        <v>0</v>
      </c>
      <c r="M302" s="489">
        <f>FY!M129</f>
        <v>0</v>
      </c>
      <c r="N302" s="489">
        <f>FY!N129</f>
        <v>0</v>
      </c>
      <c r="O302" s="489">
        <f>FY!O129</f>
        <v>0</v>
      </c>
      <c r="P302" s="489">
        <f>FY!P129</f>
        <v>0</v>
      </c>
      <c r="Q302" s="489">
        <f>FY!Q129</f>
        <v>0</v>
      </c>
      <c r="R302" s="175"/>
      <c r="S302" s="82" t="str">
        <f>_xll.BLUEMATRIX2("/servlet/excelData",E302,$B$1,$B302&amp;":"&amp;E$115&amp;":"&amp;$R$114)</f>
        <v>#</v>
      </c>
      <c r="T302" s="82" t="str">
        <f>_xll.BLUEMATRIX2("/servlet/excelData",F302,$B$1,$B302&amp;":"&amp;F$115&amp;":"&amp;$R$114)</f>
        <v>#</v>
      </c>
      <c r="U302" s="82" t="str">
        <f>_xll.BLUEMATRIX2("/servlet/excelData",G302,$B$1,$B302&amp;":"&amp;G$115&amp;":"&amp;$R$114)</f>
        <v>#</v>
      </c>
      <c r="V302" s="82" t="str">
        <f>_xll.BLUEMATRIX2("/servlet/excelData",H302,$B$1,$B302&amp;":"&amp;H$115&amp;":"&amp;$R$114)</f>
        <v>#</v>
      </c>
      <c r="W302" s="82" t="str">
        <f>_xll.BLUEMATRIX2("/servlet/excelData",I302,$B$1,$B302&amp;":"&amp;I$115&amp;":"&amp;$R$114)</f>
        <v>#</v>
      </c>
      <c r="X302" s="82" t="str">
        <f>_xll.BLUEMATRIX2("/servlet/excelData",J302,$B$1,$B302&amp;":"&amp;J$115&amp;":"&amp;$R$114)</f>
        <v>#</v>
      </c>
      <c r="Y302" s="82" t="str">
        <f>_xll.BLUEMATRIX2("/servlet/excelData",K302,$B$1,$B302&amp;":"&amp;K$115&amp;":"&amp;$R$114)</f>
        <v>#</v>
      </c>
      <c r="Z302" s="82" t="str">
        <f>_xll.BLUEMATRIX2("/servlet/excelData",L302,$B$1,$B302&amp;":"&amp;L$115&amp;":"&amp;$R$114)</f>
        <v>#</v>
      </c>
      <c r="AA302" s="82" t="str">
        <f>_xll.BLUEMATRIX2("/servlet/excelData",M302,$B$1,$B302&amp;":"&amp;M$115&amp;":"&amp;$R$114)</f>
        <v>#</v>
      </c>
      <c r="AB302" s="82" t="str">
        <f>_xll.BLUEMATRIX2("/servlet/excelData",N302,$B$1,$B302&amp;":"&amp;N$115&amp;":"&amp;$R$114)</f>
        <v>#</v>
      </c>
      <c r="AC302" s="82" t="str">
        <f>_xll.BLUEMATRIX2("/servlet/excelData",O302,$B$1,$B302&amp;":"&amp;O$115&amp;":"&amp;$R$114)</f>
        <v>#</v>
      </c>
      <c r="AD302" s="82" t="str">
        <f>_xll.BLUEMATRIX2("/servlet/excelData",P302,$B$1,$B302&amp;":"&amp;P$115&amp;":"&amp;$R$114)</f>
        <v>#</v>
      </c>
      <c r="AE302" s="82" t="str">
        <f>_xll.BLUEMATRIX2("/servlet/excelData",Q302,$B$1,$B302&amp;":"&amp;Q$115&amp;":"&amp;$R$114)</f>
        <v>#</v>
      </c>
    </row>
    <row r="303" spans="1:31" ht="12.95" customHeight="1" x14ac:dyDescent="0.2">
      <c r="A303" s="26"/>
      <c r="B303" s="29" t="s">
        <v>1001</v>
      </c>
      <c r="C303" s="172" t="s">
        <v>1002</v>
      </c>
      <c r="D303" s="180"/>
      <c r="E303" s="180"/>
      <c r="F303" s="180" t="e">
        <f t="shared" ref="F303:Q303" si="50">F302/F18/100</f>
        <v>#DIV/0!</v>
      </c>
      <c r="G303" s="180" t="e">
        <f t="shared" si="50"/>
        <v>#DIV/0!</v>
      </c>
      <c r="H303" s="180">
        <f t="shared" si="50"/>
        <v>0</v>
      </c>
      <c r="I303" s="180">
        <f t="shared" si="50"/>
        <v>0</v>
      </c>
      <c r="J303" s="180">
        <f t="shared" si="50"/>
        <v>0</v>
      </c>
      <c r="K303" s="180">
        <f t="shared" si="50"/>
        <v>0</v>
      </c>
      <c r="L303" s="180">
        <f t="shared" si="50"/>
        <v>0</v>
      </c>
      <c r="M303" s="180">
        <f t="shared" si="50"/>
        <v>0</v>
      </c>
      <c r="N303" s="180">
        <f t="shared" si="50"/>
        <v>0</v>
      </c>
      <c r="O303" s="180">
        <f t="shared" si="50"/>
        <v>0</v>
      </c>
      <c r="P303" s="180">
        <f t="shared" si="50"/>
        <v>0</v>
      </c>
      <c r="Q303" s="180">
        <f t="shared" si="50"/>
        <v>0</v>
      </c>
      <c r="R303" s="175"/>
      <c r="S303" s="82" t="str">
        <f>_xll.BLUEMATRIX2("/servlet/excelData",E303,$B$1,$B303&amp;":"&amp;E$115&amp;":"&amp;$R$114)</f>
        <v>#</v>
      </c>
      <c r="T303" s="82" t="e">
        <f>_xll.BLUEMATRIX2("/servlet/excelData",F303,$B$1,$B303&amp;":"&amp;F$115&amp;":"&amp;$R$114)</f>
        <v>#VALUE!</v>
      </c>
      <c r="U303" s="82" t="e">
        <f>_xll.BLUEMATRIX2("/servlet/excelData",G303,$B$1,$B303&amp;":"&amp;G$115&amp;":"&amp;$R$114)</f>
        <v>#VALUE!</v>
      </c>
      <c r="V303" s="82" t="str">
        <f>_xll.BLUEMATRIX2("/servlet/excelData",H303,$B$1,$B303&amp;":"&amp;H$115&amp;":"&amp;$R$114)</f>
        <v>#</v>
      </c>
      <c r="W303" s="82" t="str">
        <f>_xll.BLUEMATRIX2("/servlet/excelData",I303,$B$1,$B303&amp;":"&amp;I$115&amp;":"&amp;$R$114)</f>
        <v>#</v>
      </c>
      <c r="X303" s="82" t="str">
        <f>_xll.BLUEMATRIX2("/servlet/excelData",J303,$B$1,$B303&amp;":"&amp;J$115&amp;":"&amp;$R$114)</f>
        <v>#</v>
      </c>
      <c r="Y303" s="82" t="str">
        <f>_xll.BLUEMATRIX2("/servlet/excelData",K303,$B$1,$B303&amp;":"&amp;K$115&amp;":"&amp;$R$114)</f>
        <v>#</v>
      </c>
      <c r="Z303" s="82" t="str">
        <f>_xll.BLUEMATRIX2("/servlet/excelData",L303,$B$1,$B303&amp;":"&amp;L$115&amp;":"&amp;$R$114)</f>
        <v>#</v>
      </c>
      <c r="AA303" s="82" t="str">
        <f>_xll.BLUEMATRIX2("/servlet/excelData",M303,$B$1,$B303&amp;":"&amp;M$115&amp;":"&amp;$R$114)</f>
        <v>#</v>
      </c>
      <c r="AB303" s="82" t="str">
        <f>_xll.BLUEMATRIX2("/servlet/excelData",N303,$B$1,$B303&amp;":"&amp;N$115&amp;":"&amp;$R$114)</f>
        <v>#</v>
      </c>
      <c r="AC303" s="82" t="str">
        <f>_xll.BLUEMATRIX2("/servlet/excelData",O303,$B$1,$B303&amp;":"&amp;O$115&amp;":"&amp;$R$114)</f>
        <v>#</v>
      </c>
      <c r="AD303" s="82" t="str">
        <f>_xll.BLUEMATRIX2("/servlet/excelData",P303,$B$1,$B303&amp;":"&amp;P$115&amp;":"&amp;$R$114)</f>
        <v>#</v>
      </c>
      <c r="AE303" s="82" t="str">
        <f>_xll.BLUEMATRIX2("/servlet/excelData",Q303,$B$1,$B303&amp;":"&amp;Q$115&amp;":"&amp;$R$114)</f>
        <v>#</v>
      </c>
    </row>
    <row r="304" spans="1:31" ht="12.95" customHeight="1" x14ac:dyDescent="0.2">
      <c r="A304" s="26" t="s">
        <v>1003</v>
      </c>
      <c r="B304" s="29" t="s">
        <v>1004</v>
      </c>
      <c r="C304" s="167" t="s">
        <v>1005</v>
      </c>
      <c r="D304" s="181"/>
      <c r="E304" s="181"/>
      <c r="F304" s="181"/>
      <c r="G304" s="181"/>
      <c r="H304" s="181"/>
      <c r="I304" s="181"/>
      <c r="J304" s="181"/>
      <c r="K304" s="181"/>
      <c r="L304" s="181"/>
      <c r="M304" s="181"/>
      <c r="N304" s="181"/>
      <c r="O304" s="181"/>
      <c r="P304" s="181"/>
      <c r="Q304" s="181"/>
      <c r="R304" s="175"/>
      <c r="S304" s="82" t="str">
        <f>_xll.BLUEMATRIX2("/servlet/excelData",E304,$B$1,$B304&amp;":"&amp;E$115&amp;":"&amp;$R$114)</f>
        <v>#</v>
      </c>
      <c r="T304" s="82" t="str">
        <f>_xll.BLUEMATRIX2("/servlet/excelData",F304,$B$1,$B304&amp;":"&amp;F$115&amp;":"&amp;$R$114)</f>
        <v>#</v>
      </c>
      <c r="U304" s="82" t="str">
        <f>_xll.BLUEMATRIX2("/servlet/excelData",G304,$B$1,$B304&amp;":"&amp;G$115&amp;":"&amp;$R$114)</f>
        <v>#</v>
      </c>
      <c r="V304" s="82" t="str">
        <f>_xll.BLUEMATRIX2("/servlet/excelData",H304,$B$1,$B304&amp;":"&amp;H$115&amp;":"&amp;$R$114)</f>
        <v>#</v>
      </c>
      <c r="W304" s="82" t="str">
        <f>_xll.BLUEMATRIX2("/servlet/excelData",I304,$B$1,$B304&amp;":"&amp;I$115&amp;":"&amp;$R$114)</f>
        <v>#</v>
      </c>
      <c r="X304" s="82" t="str">
        <f>_xll.BLUEMATRIX2("/servlet/excelData",J304,$B$1,$B304&amp;":"&amp;J$115&amp;":"&amp;$R$114)</f>
        <v>#</v>
      </c>
      <c r="Y304" s="82" t="str">
        <f>_xll.BLUEMATRIX2("/servlet/excelData",K304,$B$1,$B304&amp;":"&amp;K$115&amp;":"&amp;$R$114)</f>
        <v>#</v>
      </c>
      <c r="Z304" s="82" t="str">
        <f>_xll.BLUEMATRIX2("/servlet/excelData",L304,$B$1,$B304&amp;":"&amp;L$115&amp;":"&amp;$R$114)</f>
        <v>#</v>
      </c>
      <c r="AA304" s="82" t="str">
        <f>_xll.BLUEMATRIX2("/servlet/excelData",M304,$B$1,$B304&amp;":"&amp;M$115&amp;":"&amp;$R$114)</f>
        <v>#</v>
      </c>
      <c r="AB304" s="82" t="str">
        <f>_xll.BLUEMATRIX2("/servlet/excelData",N304,$B$1,$B304&amp;":"&amp;N$115&amp;":"&amp;$R$114)</f>
        <v>#</v>
      </c>
      <c r="AC304" s="82" t="str">
        <f>_xll.BLUEMATRIX2("/servlet/excelData",O304,$B$1,$B304&amp;":"&amp;O$115&amp;":"&amp;$R$114)</f>
        <v>#</v>
      </c>
      <c r="AD304" s="82" t="str">
        <f>_xll.BLUEMATRIX2("/servlet/excelData",P304,$B$1,$B304&amp;":"&amp;P$115&amp;":"&amp;$R$114)</f>
        <v>#</v>
      </c>
      <c r="AE304" s="82" t="str">
        <f>_xll.BLUEMATRIX2("/servlet/excelData",Q304,$B$1,$B304&amp;":"&amp;Q$115&amp;":"&amp;$R$114)</f>
        <v>#</v>
      </c>
    </row>
    <row r="305" spans="1:31" ht="12.95" customHeight="1" x14ac:dyDescent="0.2">
      <c r="A305" s="26" t="s">
        <v>1006</v>
      </c>
      <c r="B305" s="29" t="s">
        <v>1007</v>
      </c>
      <c r="C305" s="167" t="s">
        <v>1008</v>
      </c>
      <c r="D305" s="111"/>
      <c r="E305" s="111"/>
      <c r="F305" s="111"/>
      <c r="G305" s="111"/>
      <c r="H305" s="111"/>
      <c r="I305" s="111"/>
      <c r="J305" s="111"/>
      <c r="K305" s="111"/>
      <c r="L305" s="111"/>
      <c r="M305" s="111"/>
      <c r="N305" s="111"/>
      <c r="O305" s="111"/>
      <c r="P305" s="111"/>
      <c r="Q305" s="111"/>
      <c r="R305" s="175"/>
      <c r="S305" s="82" t="str">
        <f>_xll.BLUEMATRIX2("/servlet/excelData",E305,$B$1,$B305&amp;":"&amp;E$115&amp;":"&amp;$R$114)</f>
        <v>#</v>
      </c>
      <c r="T305" s="82" t="str">
        <f>_xll.BLUEMATRIX2("/servlet/excelData",F305,$B$1,$B305&amp;":"&amp;F$115&amp;":"&amp;$R$114)</f>
        <v>#</v>
      </c>
      <c r="U305" s="82" t="str">
        <f>_xll.BLUEMATRIX2("/servlet/excelData",G305,$B$1,$B305&amp;":"&amp;G$115&amp;":"&amp;$R$114)</f>
        <v>#</v>
      </c>
      <c r="V305" s="82" t="str">
        <f>_xll.BLUEMATRIX2("/servlet/excelData",H305,$B$1,$B305&amp;":"&amp;H$115&amp;":"&amp;$R$114)</f>
        <v>#</v>
      </c>
      <c r="W305" s="82" t="str">
        <f>_xll.BLUEMATRIX2("/servlet/excelData",I305,$B$1,$B305&amp;":"&amp;I$115&amp;":"&amp;$R$114)</f>
        <v>#</v>
      </c>
      <c r="X305" s="82" t="str">
        <f>_xll.BLUEMATRIX2("/servlet/excelData",J305,$B$1,$B305&amp;":"&amp;J$115&amp;":"&amp;$R$114)</f>
        <v>#</v>
      </c>
      <c r="Y305" s="82" t="str">
        <f>_xll.BLUEMATRIX2("/servlet/excelData",K305,$B$1,$B305&amp;":"&amp;K$115&amp;":"&amp;$R$114)</f>
        <v>#</v>
      </c>
      <c r="Z305" s="82" t="str">
        <f>_xll.BLUEMATRIX2("/servlet/excelData",L305,$B$1,$B305&amp;":"&amp;L$115&amp;":"&amp;$R$114)</f>
        <v>#</v>
      </c>
      <c r="AA305" s="82" t="str">
        <f>_xll.BLUEMATRIX2("/servlet/excelData",M305,$B$1,$B305&amp;":"&amp;M$115&amp;":"&amp;$R$114)</f>
        <v>#</v>
      </c>
      <c r="AB305" s="82" t="str">
        <f>_xll.BLUEMATRIX2("/servlet/excelData",N305,$B$1,$B305&amp;":"&amp;N$115&amp;":"&amp;$R$114)</f>
        <v>#</v>
      </c>
      <c r="AC305" s="82" t="str">
        <f>_xll.BLUEMATRIX2("/servlet/excelData",O305,$B$1,$B305&amp;":"&amp;O$115&amp;":"&amp;$R$114)</f>
        <v>#</v>
      </c>
      <c r="AD305" s="82" t="str">
        <f>_xll.BLUEMATRIX2("/servlet/excelData",P305,$B$1,$B305&amp;":"&amp;P$115&amp;":"&amp;$R$114)</f>
        <v>#</v>
      </c>
      <c r="AE305" s="82" t="str">
        <f>_xll.BLUEMATRIX2("/servlet/excelData",Q305,$B$1,$B305&amp;":"&amp;Q$115&amp;":"&amp;$R$114)</f>
        <v>#</v>
      </c>
    </row>
    <row r="306" spans="1:31" ht="12.95" customHeight="1" x14ac:dyDescent="0.2">
      <c r="A306" s="26" t="s">
        <v>1009</v>
      </c>
      <c r="B306" s="29" t="s">
        <v>1010</v>
      </c>
      <c r="C306" s="167" t="s">
        <v>1011</v>
      </c>
      <c r="D306" s="181"/>
      <c r="E306" s="181"/>
      <c r="F306" s="181" t="str">
        <f t="shared" ref="F306:Q306" si="51">IF(ISERROR(-F163/F162),"nm",-F163/F162)</f>
        <v>nm</v>
      </c>
      <c r="G306" s="181" t="str">
        <f t="shared" si="51"/>
        <v>nm</v>
      </c>
      <c r="H306" s="181">
        <f t="shared" si="51"/>
        <v>-22.999999999999979</v>
      </c>
      <c r="I306" s="181">
        <f t="shared" si="51"/>
        <v>4.807692307692308E-3</v>
      </c>
      <c r="J306" s="181">
        <f t="shared" si="51"/>
        <v>0.30000000000000004</v>
      </c>
      <c r="K306" s="181">
        <f t="shared" si="51"/>
        <v>0.29999999999999993</v>
      </c>
      <c r="L306" s="181">
        <f t="shared" si="51"/>
        <v>0.29999999999999993</v>
      </c>
      <c r="M306" s="181">
        <f t="shared" si="51"/>
        <v>0.3</v>
      </c>
      <c r="N306" s="181">
        <f t="shared" si="51"/>
        <v>0.30000000000000004</v>
      </c>
      <c r="O306" s="181">
        <f t="shared" si="51"/>
        <v>0.30000000000000004</v>
      </c>
      <c r="P306" s="181">
        <f t="shared" si="51"/>
        <v>0.3</v>
      </c>
      <c r="Q306" s="181">
        <f t="shared" si="51"/>
        <v>0.3</v>
      </c>
      <c r="R306" s="175"/>
      <c r="S306" s="82" t="str">
        <f>_xll.BLUEMATRIX2("/servlet/excelData",E306,$B$1,$B306&amp;":"&amp;E$115&amp;":"&amp;$R$114)</f>
        <v>#</v>
      </c>
      <c r="T306" s="82" t="str">
        <f>_xll.BLUEMATRIX2("/servlet/excelData",F306,$B$1,$B306&amp;":"&amp;F$115&amp;":"&amp;$R$114)</f>
        <v>#</v>
      </c>
      <c r="U306" s="82" t="str">
        <f>_xll.BLUEMATRIX2("/servlet/excelData",G306,$B$1,$B306&amp;":"&amp;G$115&amp;":"&amp;$R$114)</f>
        <v>#</v>
      </c>
      <c r="V306" s="82" t="str">
        <f>_xll.BLUEMATRIX2("/servlet/excelData",H306,$B$1,$B306&amp;":"&amp;H$115&amp;":"&amp;$R$114)</f>
        <v>#</v>
      </c>
      <c r="W306" s="82" t="str">
        <f>_xll.BLUEMATRIX2("/servlet/excelData",I306,$B$1,$B306&amp;":"&amp;I$115&amp;":"&amp;$R$114)</f>
        <v>#</v>
      </c>
      <c r="X306" s="82" t="str">
        <f>_xll.BLUEMATRIX2("/servlet/excelData",J306,$B$1,$B306&amp;":"&amp;J$115&amp;":"&amp;$R$114)</f>
        <v>#</v>
      </c>
      <c r="Y306" s="82" t="str">
        <f>_xll.BLUEMATRIX2("/servlet/excelData",K306,$B$1,$B306&amp;":"&amp;K$115&amp;":"&amp;$R$114)</f>
        <v>#</v>
      </c>
      <c r="Z306" s="82" t="str">
        <f>_xll.BLUEMATRIX2("/servlet/excelData",L306,$B$1,$B306&amp;":"&amp;L$115&amp;":"&amp;$R$114)</f>
        <v>#</v>
      </c>
      <c r="AA306" s="82" t="str">
        <f>_xll.BLUEMATRIX2("/servlet/excelData",M306,$B$1,$B306&amp;":"&amp;M$115&amp;":"&amp;$R$114)</f>
        <v>#</v>
      </c>
      <c r="AB306" s="82" t="str">
        <f>_xll.BLUEMATRIX2("/servlet/excelData",N306,$B$1,$B306&amp;":"&amp;N$115&amp;":"&amp;$R$114)</f>
        <v>#</v>
      </c>
      <c r="AC306" s="82" t="str">
        <f>_xll.BLUEMATRIX2("/servlet/excelData",O306,$B$1,$B306&amp;":"&amp;O$115&amp;":"&amp;$R$114)</f>
        <v>#</v>
      </c>
      <c r="AD306" s="82" t="str">
        <f>_xll.BLUEMATRIX2("/servlet/excelData",P306,$B$1,$B306&amp;":"&amp;P$115&amp;":"&amp;$R$114)</f>
        <v>#</v>
      </c>
      <c r="AE306" s="82" t="str">
        <f>_xll.BLUEMATRIX2("/servlet/excelData",Q306,$B$1,$B306&amp;":"&amp;Q$115&amp;":"&amp;$R$114)</f>
        <v>#</v>
      </c>
    </row>
    <row r="307" spans="1:31" ht="12.95" customHeight="1" x14ac:dyDescent="0.2">
      <c r="A307" s="26" t="s">
        <v>1012</v>
      </c>
      <c r="B307" s="29" t="s">
        <v>1013</v>
      </c>
      <c r="C307" s="167" t="s">
        <v>1014</v>
      </c>
      <c r="D307" s="179"/>
      <c r="E307" s="179"/>
      <c r="F307" s="179" t="e">
        <f t="shared" ref="F307:Q307" si="52">+F278/F287*100</f>
        <v>#DIV/0!</v>
      </c>
      <c r="G307" s="179" t="e">
        <f t="shared" si="52"/>
        <v>#DIV/0!</v>
      </c>
      <c r="H307" s="179">
        <f t="shared" si="52"/>
        <v>-3.8430633487649848</v>
      </c>
      <c r="I307" s="179">
        <f t="shared" si="52"/>
        <v>-3.3497053334928766</v>
      </c>
      <c r="J307" s="179">
        <f t="shared" si="52"/>
        <v>0.1655297324287224</v>
      </c>
      <c r="K307" s="179">
        <f t="shared" si="52"/>
        <v>0.61443890073926588</v>
      </c>
      <c r="L307" s="179">
        <f t="shared" si="52"/>
        <v>0.86898580210501541</v>
      </c>
      <c r="M307" s="179">
        <f t="shared" si="52"/>
        <v>1.1179871594936572</v>
      </c>
      <c r="N307" s="179">
        <f t="shared" si="52"/>
        <v>1.2530696033977682</v>
      </c>
      <c r="O307" s="179">
        <f t="shared" si="52"/>
        <v>1.3247136117638521</v>
      </c>
      <c r="P307" s="179">
        <f t="shared" si="52"/>
        <v>1.4025245954309962</v>
      </c>
      <c r="Q307" s="179">
        <f t="shared" si="52"/>
        <v>1.4852222843918901</v>
      </c>
      <c r="R307" s="175"/>
      <c r="S307" s="82" t="str">
        <f>_xll.BLUEMATRIX2("/servlet/excelData",E307,$B$1,$B307&amp;":"&amp;E$115&amp;":"&amp;$R$114)</f>
        <v>#</v>
      </c>
      <c r="T307" s="82" t="e">
        <f>_xll.BLUEMATRIX2("/servlet/excelData",F307,$B$1,$B307&amp;":"&amp;F$115&amp;":"&amp;$R$114)</f>
        <v>#VALUE!</v>
      </c>
      <c r="U307" s="82" t="e">
        <f>_xll.BLUEMATRIX2("/servlet/excelData",G307,$B$1,$B307&amp;":"&amp;G$115&amp;":"&amp;$R$114)</f>
        <v>#VALUE!</v>
      </c>
      <c r="V307" s="82" t="str">
        <f>_xll.BLUEMATRIX2("/servlet/excelData",H307,$B$1,$B307&amp;":"&amp;H$115&amp;":"&amp;$R$114)</f>
        <v>#</v>
      </c>
      <c r="W307" s="82" t="str">
        <f>_xll.BLUEMATRIX2("/servlet/excelData",I307,$B$1,$B307&amp;":"&amp;I$115&amp;":"&amp;$R$114)</f>
        <v>#</v>
      </c>
      <c r="X307" s="82" t="str">
        <f>_xll.BLUEMATRIX2("/servlet/excelData",J307,$B$1,$B307&amp;":"&amp;J$115&amp;":"&amp;$R$114)</f>
        <v>#</v>
      </c>
      <c r="Y307" s="82" t="str">
        <f>_xll.BLUEMATRIX2("/servlet/excelData",K307,$B$1,$B307&amp;":"&amp;K$115&amp;":"&amp;$R$114)</f>
        <v>#</v>
      </c>
      <c r="Z307" s="82" t="str">
        <f>_xll.BLUEMATRIX2("/servlet/excelData",L307,$B$1,$B307&amp;":"&amp;L$115&amp;":"&amp;$R$114)</f>
        <v>#</v>
      </c>
      <c r="AA307" s="82" t="str">
        <f>_xll.BLUEMATRIX2("/servlet/excelData",M307,$B$1,$B307&amp;":"&amp;M$115&amp;":"&amp;$R$114)</f>
        <v>#</v>
      </c>
      <c r="AB307" s="82" t="str">
        <f>_xll.BLUEMATRIX2("/servlet/excelData",N307,$B$1,$B307&amp;":"&amp;N$115&amp;":"&amp;$R$114)</f>
        <v>#</v>
      </c>
      <c r="AC307" s="82" t="str">
        <f>_xll.BLUEMATRIX2("/servlet/excelData",O307,$B$1,$B307&amp;":"&amp;O$115&amp;":"&amp;$R$114)</f>
        <v>#</v>
      </c>
      <c r="AD307" s="82" t="str">
        <f>_xll.BLUEMATRIX2("/servlet/excelData",P307,$B$1,$B307&amp;":"&amp;P$115&amp;":"&amp;$R$114)</f>
        <v>#</v>
      </c>
      <c r="AE307" s="82" t="str">
        <f>_xll.BLUEMATRIX2("/servlet/excelData",Q307,$B$1,$B307&amp;":"&amp;Q$115&amp;":"&amp;$R$114)</f>
        <v>#</v>
      </c>
    </row>
    <row r="308" spans="1:31" ht="12.95" customHeight="1" x14ac:dyDescent="0.2">
      <c r="A308" s="26" t="s">
        <v>1015</v>
      </c>
      <c r="B308" s="29" t="s">
        <v>1016</v>
      </c>
      <c r="C308" s="167" t="s">
        <v>1017</v>
      </c>
      <c r="D308" s="173"/>
      <c r="E308" s="173"/>
      <c r="F308" s="173" t="e">
        <f t="shared" ref="F308:Q308" si="53">IF(ISERROR(F228/F285),"nm",F228/F285)*100</f>
        <v>#VALUE!</v>
      </c>
      <c r="G308" s="173" t="e">
        <f t="shared" si="53"/>
        <v>#VALUE!</v>
      </c>
      <c r="H308" s="173">
        <f t="shared" si="53"/>
        <v>19.326823604088762</v>
      </c>
      <c r="I308" s="173">
        <f t="shared" si="53"/>
        <v>12.730497593776825</v>
      </c>
      <c r="J308" s="173">
        <f t="shared" si="53"/>
        <v>12.597791258219479</v>
      </c>
      <c r="K308" s="173">
        <f t="shared" si="53"/>
        <v>13.048896543732946</v>
      </c>
      <c r="L308" s="173">
        <f t="shared" si="53"/>
        <v>13.785830319884685</v>
      </c>
      <c r="M308" s="173">
        <f t="shared" si="53"/>
        <v>14.707734605118372</v>
      </c>
      <c r="N308" s="173">
        <f t="shared" si="53"/>
        <v>15.796168965296738</v>
      </c>
      <c r="O308" s="173">
        <f t="shared" si="53"/>
        <v>16.979875232412482</v>
      </c>
      <c r="P308" s="173">
        <f t="shared" si="53"/>
        <v>18.258935532966973</v>
      </c>
      <c r="Q308" s="173">
        <f t="shared" si="53"/>
        <v>19.633366372502024</v>
      </c>
      <c r="R308" s="175"/>
      <c r="S308" s="82" t="str">
        <f>_xll.BLUEMATRIX2("/servlet/excelData",E308,$B$1,$B308&amp;":"&amp;E$115&amp;":"&amp;$R$114)</f>
        <v>#</v>
      </c>
      <c r="T308" s="82" t="e">
        <f>_xll.BLUEMATRIX2("/servlet/excelData",F308,$B$1,$B308&amp;":"&amp;F$115&amp;":"&amp;$R$114)</f>
        <v>#VALUE!</v>
      </c>
      <c r="U308" s="82" t="e">
        <f>_xll.BLUEMATRIX2("/servlet/excelData",G308,$B$1,$B308&amp;":"&amp;G$115&amp;":"&amp;$R$114)</f>
        <v>#VALUE!</v>
      </c>
      <c r="V308" s="82" t="str">
        <f>_xll.BLUEMATRIX2("/servlet/excelData",H308,$B$1,$B308&amp;":"&amp;H$115&amp;":"&amp;$R$114)</f>
        <v>#</v>
      </c>
      <c r="W308" s="82" t="str">
        <f>_xll.BLUEMATRIX2("/servlet/excelData",I308,$B$1,$B308&amp;":"&amp;I$115&amp;":"&amp;$R$114)</f>
        <v>#</v>
      </c>
      <c r="X308" s="82" t="str">
        <f>_xll.BLUEMATRIX2("/servlet/excelData",J308,$B$1,$B308&amp;":"&amp;J$115&amp;":"&amp;$R$114)</f>
        <v>#</v>
      </c>
      <c r="Y308" s="82" t="str">
        <f>_xll.BLUEMATRIX2("/servlet/excelData",K308,$B$1,$B308&amp;":"&amp;K$115&amp;":"&amp;$R$114)</f>
        <v>#</v>
      </c>
      <c r="Z308" s="82" t="str">
        <f>_xll.BLUEMATRIX2("/servlet/excelData",L308,$B$1,$B308&amp;":"&amp;L$115&amp;":"&amp;$R$114)</f>
        <v>#</v>
      </c>
      <c r="AA308" s="82" t="str">
        <f>_xll.BLUEMATRIX2("/servlet/excelData",M308,$B$1,$B308&amp;":"&amp;M$115&amp;":"&amp;$R$114)</f>
        <v>#</v>
      </c>
      <c r="AB308" s="82" t="str">
        <f>_xll.BLUEMATRIX2("/servlet/excelData",N308,$B$1,$B308&amp;":"&amp;N$115&amp;":"&amp;$R$114)</f>
        <v>#</v>
      </c>
      <c r="AC308" s="82" t="str">
        <f>_xll.BLUEMATRIX2("/servlet/excelData",O308,$B$1,$B308&amp;":"&amp;O$115&amp;":"&amp;$R$114)</f>
        <v>#</v>
      </c>
      <c r="AD308" s="82" t="str">
        <f>_xll.BLUEMATRIX2("/servlet/excelData",P308,$B$1,$B308&amp;":"&amp;P$115&amp;":"&amp;$R$114)</f>
        <v>#</v>
      </c>
      <c r="AE308" s="82" t="str">
        <f>_xll.BLUEMATRIX2("/servlet/excelData",Q308,$B$1,$B308&amp;":"&amp;Q$115&amp;":"&amp;$R$114)</f>
        <v>#</v>
      </c>
    </row>
    <row r="309" spans="1:31" ht="12.95" customHeight="1" x14ac:dyDescent="0.2">
      <c r="A309" s="26" t="s">
        <v>1018</v>
      </c>
      <c r="B309" s="29" t="s">
        <v>1019</v>
      </c>
      <c r="C309" s="167" t="s">
        <v>1020</v>
      </c>
      <c r="D309" s="173"/>
      <c r="E309" s="173"/>
      <c r="F309" s="173" t="e">
        <f t="shared" ref="F309:Q309" si="54">IF(ISERROR(F233/F285),"nm",F233/F285)*100</f>
        <v>#VALUE!</v>
      </c>
      <c r="G309" s="173" t="e">
        <f t="shared" si="54"/>
        <v>#VALUE!</v>
      </c>
      <c r="H309" s="173">
        <f t="shared" si="54"/>
        <v>10.589773175600605</v>
      </c>
      <c r="I309" s="173">
        <f t="shared" si="54"/>
        <v>4.4155329491928637</v>
      </c>
      <c r="J309" s="173">
        <f t="shared" si="54"/>
        <v>4.3599632932894732</v>
      </c>
      <c r="K309" s="173">
        <f t="shared" si="54"/>
        <v>4.8241068506662623</v>
      </c>
      <c r="L309" s="173">
        <f t="shared" si="54"/>
        <v>5.5341557679288007</v>
      </c>
      <c r="M309" s="173">
        <f t="shared" si="54"/>
        <v>6.4829945326856251</v>
      </c>
      <c r="N309" s="173">
        <f t="shared" si="54"/>
        <v>7.5554863458450692</v>
      </c>
      <c r="O309" s="173">
        <f t="shared" si="54"/>
        <v>8.6874766456075161</v>
      </c>
      <c r="P309" s="173">
        <f t="shared" si="54"/>
        <v>9.8845730249563424</v>
      </c>
      <c r="Q309" s="173">
        <f t="shared" si="54"/>
        <v>11.151067466844387</v>
      </c>
      <c r="R309" s="175"/>
      <c r="S309" s="82" t="str">
        <f>_xll.BLUEMATRIX2("/servlet/excelData",E309,$B$1,$B309&amp;":"&amp;E$115&amp;":"&amp;$R$114)</f>
        <v>#</v>
      </c>
      <c r="T309" s="82" t="e">
        <f>_xll.BLUEMATRIX2("/servlet/excelData",F309,$B$1,$B309&amp;":"&amp;F$115&amp;":"&amp;$R$114)</f>
        <v>#VALUE!</v>
      </c>
      <c r="U309" s="82" t="e">
        <f>_xll.BLUEMATRIX2("/servlet/excelData",G309,$B$1,$B309&amp;":"&amp;G$115&amp;":"&amp;$R$114)</f>
        <v>#VALUE!</v>
      </c>
      <c r="V309" s="82" t="str">
        <f>_xll.BLUEMATRIX2("/servlet/excelData",H309,$B$1,$B309&amp;":"&amp;H$115&amp;":"&amp;$R$114)</f>
        <v>#</v>
      </c>
      <c r="W309" s="82" t="str">
        <f>_xll.BLUEMATRIX2("/servlet/excelData",I309,$B$1,$B309&amp;":"&amp;I$115&amp;":"&amp;$R$114)</f>
        <v>#</v>
      </c>
      <c r="X309" s="82" t="str">
        <f>_xll.BLUEMATRIX2("/servlet/excelData",J309,$B$1,$B309&amp;":"&amp;J$115&amp;":"&amp;$R$114)</f>
        <v>#</v>
      </c>
      <c r="Y309" s="82" t="str">
        <f>_xll.BLUEMATRIX2("/servlet/excelData",K309,$B$1,$B309&amp;":"&amp;K$115&amp;":"&amp;$R$114)</f>
        <v>#</v>
      </c>
      <c r="Z309" s="82" t="str">
        <f>_xll.BLUEMATRIX2("/servlet/excelData",L309,$B$1,$B309&amp;":"&amp;L$115&amp;":"&amp;$R$114)</f>
        <v>#</v>
      </c>
      <c r="AA309" s="82" t="str">
        <f>_xll.BLUEMATRIX2("/servlet/excelData",M309,$B$1,$B309&amp;":"&amp;M$115&amp;":"&amp;$R$114)</f>
        <v>#</v>
      </c>
      <c r="AB309" s="82" t="str">
        <f>_xll.BLUEMATRIX2("/servlet/excelData",N309,$B$1,$B309&amp;":"&amp;N$115&amp;":"&amp;$R$114)</f>
        <v>#</v>
      </c>
      <c r="AC309" s="82" t="str">
        <f>_xll.BLUEMATRIX2("/servlet/excelData",O309,$B$1,$B309&amp;":"&amp;O$115&amp;":"&amp;$R$114)</f>
        <v>#</v>
      </c>
      <c r="AD309" s="82" t="str">
        <f>_xll.BLUEMATRIX2("/servlet/excelData",P309,$B$1,$B309&amp;":"&amp;P$115&amp;":"&amp;$R$114)</f>
        <v>#</v>
      </c>
      <c r="AE309" s="82" t="str">
        <f>_xll.BLUEMATRIX2("/servlet/excelData",Q309,$B$1,$B309&amp;":"&amp;Q$115&amp;":"&amp;$R$114)</f>
        <v>#</v>
      </c>
    </row>
    <row r="310" spans="1:31" ht="12.95" customHeight="1" x14ac:dyDescent="0.2">
      <c r="A310" s="26"/>
      <c r="B310" s="29"/>
      <c r="C310" s="182"/>
      <c r="D310" s="175"/>
      <c r="E310" s="175"/>
      <c r="F310" s="175"/>
      <c r="G310" s="175"/>
      <c r="H310" s="175"/>
      <c r="I310" s="175"/>
      <c r="J310" s="175"/>
      <c r="K310" s="175"/>
      <c r="L310" s="175"/>
      <c r="M310" s="175"/>
      <c r="N310" s="175"/>
      <c r="O310" s="175"/>
      <c r="P310" s="175"/>
      <c r="Q310" s="175"/>
      <c r="R310" s="175"/>
      <c r="S310" s="33"/>
      <c r="T310" s="33"/>
      <c r="U310" s="33"/>
      <c r="V310" s="33"/>
      <c r="W310" s="33"/>
      <c r="X310" s="33"/>
      <c r="Y310" s="33"/>
      <c r="Z310" s="33"/>
      <c r="AA310" s="33"/>
      <c r="AB310" s="33"/>
      <c r="AC310" s="33"/>
      <c r="AD310" s="33"/>
      <c r="AE310" s="33"/>
    </row>
    <row r="311" spans="1:31" ht="12.95" customHeight="1" x14ac:dyDescent="0.2">
      <c r="A311" s="26"/>
      <c r="B311" s="29"/>
      <c r="C311" s="182"/>
      <c r="D311" s="175"/>
      <c r="E311" s="183"/>
      <c r="F311" s="175"/>
      <c r="G311" s="183"/>
      <c r="H311" s="175"/>
      <c r="I311" s="175"/>
      <c r="J311" s="175"/>
      <c r="K311" s="175"/>
      <c r="L311" s="175"/>
      <c r="M311" s="175"/>
      <c r="N311" s="175"/>
      <c r="O311" s="175"/>
      <c r="P311" s="175"/>
      <c r="Q311" s="175"/>
      <c r="R311" s="175"/>
      <c r="S311" s="33"/>
      <c r="T311" s="33"/>
      <c r="U311" s="33"/>
      <c r="V311" s="33"/>
      <c r="W311" s="33"/>
      <c r="X311" s="33"/>
      <c r="Y311" s="33"/>
      <c r="Z311" s="33"/>
      <c r="AA311" s="33"/>
      <c r="AB311" s="33"/>
      <c r="AC311" s="33"/>
      <c r="AD311" s="33"/>
      <c r="AE311" s="33"/>
    </row>
    <row r="312" spans="1:31" ht="15" customHeight="1" x14ac:dyDescent="0.2">
      <c r="A312" s="61"/>
      <c r="B312" s="29"/>
      <c r="C312" s="107" t="s">
        <v>1021</v>
      </c>
      <c r="D312" s="108"/>
      <c r="E312" s="108"/>
      <c r="F312" s="108"/>
      <c r="G312" s="108"/>
      <c r="H312" s="108"/>
      <c r="I312" s="108"/>
      <c r="J312" s="108"/>
      <c r="K312" s="108"/>
      <c r="L312" s="108"/>
      <c r="M312" s="108"/>
      <c r="N312" s="108"/>
      <c r="O312" s="108"/>
      <c r="P312" s="108"/>
      <c r="Q312" s="108"/>
      <c r="R312" s="64"/>
      <c r="S312" s="33"/>
      <c r="T312" s="33"/>
      <c r="U312" s="33"/>
      <c r="V312" s="33"/>
      <c r="W312" s="33"/>
      <c r="X312" s="33"/>
      <c r="Y312" s="33"/>
      <c r="Z312" s="33"/>
      <c r="AA312" s="33"/>
      <c r="AB312" s="33"/>
      <c r="AC312" s="33"/>
      <c r="AD312" s="33"/>
      <c r="AE312" s="33"/>
    </row>
    <row r="313" spans="1:31" ht="15" customHeight="1" x14ac:dyDescent="0.2">
      <c r="A313" s="61"/>
      <c r="B313" s="29"/>
      <c r="C313" s="184" t="s">
        <v>1022</v>
      </c>
      <c r="D313" s="7"/>
      <c r="E313" s="7"/>
      <c r="F313" s="7"/>
      <c r="G313" s="7"/>
      <c r="H313" s="7"/>
      <c r="I313" s="7"/>
      <c r="J313" s="7"/>
      <c r="K313" s="7"/>
      <c r="L313" s="7"/>
      <c r="M313" s="7"/>
      <c r="N313" s="7"/>
      <c r="O313" s="7"/>
      <c r="P313" s="7"/>
      <c r="Q313" s="7"/>
      <c r="R313" s="64"/>
      <c r="S313" s="33"/>
      <c r="T313" s="33"/>
      <c r="U313" s="33"/>
      <c r="V313" s="33"/>
      <c r="W313" s="33"/>
      <c r="X313" s="33"/>
      <c r="Y313" s="33"/>
      <c r="Z313" s="33"/>
      <c r="AA313" s="33"/>
      <c r="AB313" s="33"/>
      <c r="AC313" s="33"/>
      <c r="AD313" s="33"/>
      <c r="AE313" s="33"/>
    </row>
    <row r="314" spans="1:31" ht="12.95" customHeight="1" x14ac:dyDescent="0.2">
      <c r="A314" s="26" t="s">
        <v>1023</v>
      </c>
      <c r="B314" s="29" t="s">
        <v>1024</v>
      </c>
      <c r="C314" s="165" t="s">
        <v>1025</v>
      </c>
      <c r="D314" s="181"/>
      <c r="E314" s="181" t="str">
        <f t="shared" ref="E314:Q314" si="55">IF(ISERROR(E149/E142),"nm",E149/E142)</f>
        <v>nm</v>
      </c>
      <c r="F314" s="181" t="str">
        <f t="shared" si="55"/>
        <v>nm</v>
      </c>
      <c r="G314" s="181" t="str">
        <f t="shared" si="55"/>
        <v>nm</v>
      </c>
      <c r="H314" s="181">
        <f t="shared" si="55"/>
        <v>5.3491827637444284E-2</v>
      </c>
      <c r="I314" s="181">
        <f t="shared" si="55"/>
        <v>-4.8830811554332873E-2</v>
      </c>
      <c r="J314" s="181">
        <f t="shared" si="55"/>
        <v>9.8831245422658198E-2</v>
      </c>
      <c r="K314" s="181">
        <f t="shared" si="55"/>
        <v>0.12331774384946846</v>
      </c>
      <c r="L314" s="181">
        <f t="shared" si="55"/>
        <v>0.13894604044515296</v>
      </c>
      <c r="M314" s="181">
        <f t="shared" si="55"/>
        <v>0.14732215560918555</v>
      </c>
      <c r="N314" s="181">
        <f t="shared" si="55"/>
        <v>0.15288499826467963</v>
      </c>
      <c r="O314" s="181">
        <f t="shared" si="55"/>
        <v>0.15294664391721211</v>
      </c>
      <c r="P314" s="181">
        <f t="shared" si="55"/>
        <v>0.15300711536683906</v>
      </c>
      <c r="Q314" s="181">
        <f t="shared" si="55"/>
        <v>0.15306643497933031</v>
      </c>
      <c r="R314" s="175"/>
      <c r="S314" s="82" t="str">
        <f>_xll.BLUEMATRIX2("/servlet/excelData",E314,$B$1,$B314&amp;":"&amp;E$115&amp;":"&amp;$R$114)</f>
        <v>#</v>
      </c>
      <c r="T314" s="82" t="str">
        <f>_xll.BLUEMATRIX2("/servlet/excelData",F314,$B$1,$B314&amp;":"&amp;F$115&amp;":"&amp;$R$114)</f>
        <v>#</v>
      </c>
      <c r="U314" s="82" t="str">
        <f>_xll.BLUEMATRIX2("/servlet/excelData",G314,$B$1,$B314&amp;":"&amp;G$115&amp;":"&amp;$R$114)</f>
        <v>#</v>
      </c>
      <c r="V314" s="82" t="str">
        <f>_xll.BLUEMATRIX2("/servlet/excelData",H314,$B$1,$B314&amp;":"&amp;H$115&amp;":"&amp;$R$114)</f>
        <v>#</v>
      </c>
      <c r="W314" s="82" t="str">
        <f>_xll.BLUEMATRIX2("/servlet/excelData",I314,$B$1,$B314&amp;":"&amp;I$115&amp;":"&amp;$R$114)</f>
        <v>#</v>
      </c>
      <c r="X314" s="82" t="str">
        <f>_xll.BLUEMATRIX2("/servlet/excelData",J314,$B$1,$B314&amp;":"&amp;J$115&amp;":"&amp;$R$114)</f>
        <v>#</v>
      </c>
      <c r="Y314" s="82" t="str">
        <f>_xll.BLUEMATRIX2("/servlet/excelData",K314,$B$1,$B314&amp;":"&amp;K$115&amp;":"&amp;$R$114)</f>
        <v>#</v>
      </c>
      <c r="Z314" s="82" t="str">
        <f>_xll.BLUEMATRIX2("/servlet/excelData",L314,$B$1,$B314&amp;":"&amp;L$115&amp;":"&amp;$R$114)</f>
        <v>#</v>
      </c>
      <c r="AA314" s="82" t="str">
        <f>_xll.BLUEMATRIX2("/servlet/excelData",M314,$B$1,$B314&amp;":"&amp;M$115&amp;":"&amp;$R$114)</f>
        <v>#</v>
      </c>
      <c r="AB314" s="82" t="str">
        <f>_xll.BLUEMATRIX2("/servlet/excelData",N314,$B$1,$B314&amp;":"&amp;N$115&amp;":"&amp;$R$114)</f>
        <v>#</v>
      </c>
      <c r="AC314" s="82" t="str">
        <f>_xll.BLUEMATRIX2("/servlet/excelData",O314,$B$1,$B314&amp;":"&amp;O$115&amp;":"&amp;$R$114)</f>
        <v>#</v>
      </c>
      <c r="AD314" s="82" t="str">
        <f>_xll.BLUEMATRIX2("/servlet/excelData",P314,$B$1,$B314&amp;":"&amp;P$115&amp;":"&amp;$R$114)</f>
        <v>#</v>
      </c>
      <c r="AE314" s="82" t="str">
        <f>_xll.BLUEMATRIX2("/servlet/excelData",Q314,$B$1,$B314&amp;":"&amp;Q$115&amp;":"&amp;$R$114)</f>
        <v>#</v>
      </c>
    </row>
    <row r="315" spans="1:31" ht="12.95" customHeight="1" x14ac:dyDescent="0.2">
      <c r="A315" s="26" t="s">
        <v>1026</v>
      </c>
      <c r="B315" s="29" t="s">
        <v>1027</v>
      </c>
      <c r="C315" s="165" t="s">
        <v>1028</v>
      </c>
      <c r="D315" s="181"/>
      <c r="E315" s="181" t="str">
        <f t="shared" ref="E315:Q315" si="56">IF(ISERROR(E156/E142),"nm",E156/E142)</f>
        <v>nm</v>
      </c>
      <c r="F315" s="181" t="str">
        <f t="shared" si="56"/>
        <v>nm</v>
      </c>
      <c r="G315" s="181" t="str">
        <f t="shared" si="56"/>
        <v>nm</v>
      </c>
      <c r="H315" s="181">
        <f t="shared" si="56"/>
        <v>2.3031203566121847E-2</v>
      </c>
      <c r="I315" s="181">
        <f t="shared" si="56"/>
        <v>-0.13755158184319119</v>
      </c>
      <c r="J315" s="181">
        <f t="shared" si="56"/>
        <v>3.7812158423149889E-2</v>
      </c>
      <c r="K315" s="181">
        <f t="shared" si="56"/>
        <v>6.5221470471364548E-2</v>
      </c>
      <c r="L315" s="181">
        <f t="shared" si="56"/>
        <v>8.3061149593640457E-2</v>
      </c>
      <c r="M315" s="181">
        <f t="shared" si="56"/>
        <v>9.3391323700800555E-2</v>
      </c>
      <c r="N315" s="181">
        <f t="shared" si="56"/>
        <v>0.10116956163308849</v>
      </c>
      <c r="O315" s="181">
        <f t="shared" si="56"/>
        <v>0.10290736151205471</v>
      </c>
      <c r="P315" s="181">
        <f t="shared" si="56"/>
        <v>0.10423600077815258</v>
      </c>
      <c r="Q315" s="181">
        <f t="shared" si="56"/>
        <v>0.10525480823810429</v>
      </c>
      <c r="R315" s="175"/>
      <c r="S315" s="82" t="str">
        <f>_xll.BLUEMATRIX2("/servlet/excelData",E315,$B$1,$B315&amp;":"&amp;E$115&amp;":"&amp;$R$114)</f>
        <v>#</v>
      </c>
      <c r="T315" s="82" t="str">
        <f>_xll.BLUEMATRIX2("/servlet/excelData",F315,$B$1,$B315&amp;":"&amp;F$115&amp;":"&amp;$R$114)</f>
        <v>#</v>
      </c>
      <c r="U315" s="82" t="str">
        <f>_xll.BLUEMATRIX2("/servlet/excelData",G315,$B$1,$B315&amp;":"&amp;G$115&amp;":"&amp;$R$114)</f>
        <v>#</v>
      </c>
      <c r="V315" s="82" t="str">
        <f>_xll.BLUEMATRIX2("/servlet/excelData",H315,$B$1,$B315&amp;":"&amp;H$115&amp;":"&amp;$R$114)</f>
        <v>#</v>
      </c>
      <c r="W315" s="82" t="str">
        <f>_xll.BLUEMATRIX2("/servlet/excelData",I315,$B$1,$B315&amp;":"&amp;I$115&amp;":"&amp;$R$114)</f>
        <v>#</v>
      </c>
      <c r="X315" s="82" t="str">
        <f>_xll.BLUEMATRIX2("/servlet/excelData",J315,$B$1,$B315&amp;":"&amp;J$115&amp;":"&amp;$R$114)</f>
        <v>#</v>
      </c>
      <c r="Y315" s="82" t="str">
        <f>_xll.BLUEMATRIX2("/servlet/excelData",K315,$B$1,$B315&amp;":"&amp;K$115&amp;":"&amp;$R$114)</f>
        <v>#</v>
      </c>
      <c r="Z315" s="82" t="str">
        <f>_xll.BLUEMATRIX2("/servlet/excelData",L315,$B$1,$B315&amp;":"&amp;L$115&amp;":"&amp;$R$114)</f>
        <v>#</v>
      </c>
      <c r="AA315" s="82" t="str">
        <f>_xll.BLUEMATRIX2("/servlet/excelData",M315,$B$1,$B315&amp;":"&amp;M$115&amp;":"&amp;$R$114)</f>
        <v>#</v>
      </c>
      <c r="AB315" s="82" t="str">
        <f>_xll.BLUEMATRIX2("/servlet/excelData",N315,$B$1,$B315&amp;":"&amp;N$115&amp;":"&amp;$R$114)</f>
        <v>#</v>
      </c>
      <c r="AC315" s="82" t="str">
        <f>_xll.BLUEMATRIX2("/servlet/excelData",O315,$B$1,$B315&amp;":"&amp;O$115&amp;":"&amp;$R$114)</f>
        <v>#</v>
      </c>
      <c r="AD315" s="82" t="str">
        <f>_xll.BLUEMATRIX2("/servlet/excelData",P315,$B$1,$B315&amp;":"&amp;P$115&amp;":"&amp;$R$114)</f>
        <v>#</v>
      </c>
      <c r="AE315" s="82" t="str">
        <f>_xll.BLUEMATRIX2("/servlet/excelData",Q315,$B$1,$B315&amp;":"&amp;Q$115&amp;":"&amp;$R$114)</f>
        <v>#</v>
      </c>
    </row>
    <row r="316" spans="1:31" ht="12.95" customHeight="1" x14ac:dyDescent="0.2">
      <c r="A316" s="26" t="s">
        <v>1029</v>
      </c>
      <c r="B316" s="29" t="s">
        <v>1030</v>
      </c>
      <c r="C316" s="165" t="s">
        <v>1031</v>
      </c>
      <c r="D316" s="181"/>
      <c r="E316" s="181" t="str">
        <f t="shared" ref="E316:Q316" si="57">IF(ISERROR(E169/E142),"nm",E169/E142)</f>
        <v>nm</v>
      </c>
      <c r="F316" s="181" t="str">
        <f t="shared" si="57"/>
        <v>nm</v>
      </c>
      <c r="G316" s="181" t="str">
        <f t="shared" si="57"/>
        <v>nm</v>
      </c>
      <c r="H316" s="181">
        <f t="shared" si="57"/>
        <v>3.5661218424962851E-2</v>
      </c>
      <c r="I316" s="181">
        <f t="shared" si="57"/>
        <v>-0.14236588720770288</v>
      </c>
      <c r="J316" s="181">
        <f t="shared" si="57"/>
        <v>2.1716090159780196E-2</v>
      </c>
      <c r="K316" s="181">
        <f t="shared" si="57"/>
        <v>3.7365927138612365E-2</v>
      </c>
      <c r="L316" s="181">
        <f t="shared" si="57"/>
        <v>4.7025851715830416E-2</v>
      </c>
      <c r="M316" s="181">
        <f t="shared" si="57"/>
        <v>5.5525263624171178E-2</v>
      </c>
      <c r="N316" s="181">
        <f t="shared" si="57"/>
        <v>6.2291375397103853E-2</v>
      </c>
      <c r="O316" s="181">
        <f t="shared" si="57"/>
        <v>6.4795687661168125E-2</v>
      </c>
      <c r="P316" s="181">
        <f t="shared" si="57"/>
        <v>6.7001034536733034E-2</v>
      </c>
      <c r="Q316" s="181">
        <f t="shared" si="57"/>
        <v>6.89233794234686E-2</v>
      </c>
      <c r="R316" s="175"/>
      <c r="S316" s="82" t="str">
        <f>_xll.BLUEMATRIX2("/servlet/excelData",E316,$B$1,$B316&amp;":"&amp;E$115&amp;":"&amp;$R$114)</f>
        <v>#</v>
      </c>
      <c r="T316" s="82" t="str">
        <f>_xll.BLUEMATRIX2("/servlet/excelData",F316,$B$1,$B316&amp;":"&amp;F$115&amp;":"&amp;$R$114)</f>
        <v>#</v>
      </c>
      <c r="U316" s="82" t="str">
        <f>_xll.BLUEMATRIX2("/servlet/excelData",G316,$B$1,$B316&amp;":"&amp;G$115&amp;":"&amp;$R$114)</f>
        <v>#</v>
      </c>
      <c r="V316" s="82" t="str">
        <f>_xll.BLUEMATRIX2("/servlet/excelData",H316,$B$1,$B316&amp;":"&amp;H$115&amp;":"&amp;$R$114)</f>
        <v>#</v>
      </c>
      <c r="W316" s="82" t="str">
        <f>_xll.BLUEMATRIX2("/servlet/excelData",I316,$B$1,$B316&amp;":"&amp;I$115&amp;":"&amp;$R$114)</f>
        <v>#</v>
      </c>
      <c r="X316" s="82" t="str">
        <f>_xll.BLUEMATRIX2("/servlet/excelData",J316,$B$1,$B316&amp;":"&amp;J$115&amp;":"&amp;$R$114)</f>
        <v>#</v>
      </c>
      <c r="Y316" s="82" t="str">
        <f>_xll.BLUEMATRIX2("/servlet/excelData",K316,$B$1,$B316&amp;":"&amp;K$115&amp;":"&amp;$R$114)</f>
        <v>#</v>
      </c>
      <c r="Z316" s="82" t="str">
        <f>_xll.BLUEMATRIX2("/servlet/excelData",L316,$B$1,$B316&amp;":"&amp;L$115&amp;":"&amp;$R$114)</f>
        <v>#</v>
      </c>
      <c r="AA316" s="82" t="str">
        <f>_xll.BLUEMATRIX2("/servlet/excelData",M316,$B$1,$B316&amp;":"&amp;M$115&amp;":"&amp;$R$114)</f>
        <v>#</v>
      </c>
      <c r="AB316" s="82" t="str">
        <f>_xll.BLUEMATRIX2("/servlet/excelData",N316,$B$1,$B316&amp;":"&amp;N$115&amp;":"&amp;$R$114)</f>
        <v>#</v>
      </c>
      <c r="AC316" s="82" t="str">
        <f>_xll.BLUEMATRIX2("/servlet/excelData",O316,$B$1,$B316&amp;":"&amp;O$115&amp;":"&amp;$R$114)</f>
        <v>#</v>
      </c>
      <c r="AD316" s="82" t="str">
        <f>_xll.BLUEMATRIX2("/servlet/excelData",P316,$B$1,$B316&amp;":"&amp;P$115&amp;":"&amp;$R$114)</f>
        <v>#</v>
      </c>
      <c r="AE316" s="82" t="str">
        <f>_xll.BLUEMATRIX2("/servlet/excelData",Q316,$B$1,$B316&amp;":"&amp;Q$115&amp;":"&amp;$R$114)</f>
        <v>#</v>
      </c>
    </row>
    <row r="317" spans="1:31" ht="12.95" customHeight="1" x14ac:dyDescent="0.2">
      <c r="A317" s="26"/>
      <c r="B317" s="29"/>
      <c r="C317" s="169"/>
      <c r="D317" s="175"/>
      <c r="E317" s="175"/>
      <c r="F317" s="175"/>
      <c r="G317" s="175"/>
      <c r="H317" s="175"/>
      <c r="I317" s="175"/>
      <c r="J317" s="175"/>
      <c r="K317" s="175"/>
      <c r="L317" s="175"/>
      <c r="M317" s="175"/>
      <c r="N317" s="175"/>
      <c r="O317" s="175"/>
      <c r="P317" s="175"/>
      <c r="Q317" s="175"/>
      <c r="R317" s="175"/>
      <c r="S317" s="82"/>
      <c r="T317" s="82"/>
      <c r="U317" s="82"/>
      <c r="V317" s="82"/>
      <c r="W317" s="82"/>
      <c r="X317" s="82"/>
      <c r="Y317" s="82"/>
      <c r="Z317" s="82"/>
      <c r="AA317" s="82"/>
      <c r="AB317" s="82"/>
      <c r="AC317" s="82"/>
      <c r="AD317" s="82"/>
      <c r="AE317" s="82"/>
    </row>
    <row r="318" spans="1:31" ht="12.95" customHeight="1" x14ac:dyDescent="0.2">
      <c r="A318" s="26"/>
      <c r="B318" s="29"/>
      <c r="C318" s="185" t="s">
        <v>1032</v>
      </c>
      <c r="D318" s="175"/>
      <c r="E318" s="175"/>
      <c r="F318" s="175"/>
      <c r="G318" s="175"/>
      <c r="H318" s="175"/>
      <c r="I318" s="175"/>
      <c r="J318" s="175"/>
      <c r="K318" s="175"/>
      <c r="L318" s="175"/>
      <c r="M318" s="175"/>
      <c r="N318" s="175"/>
      <c r="O318" s="175"/>
      <c r="P318" s="175"/>
      <c r="Q318" s="175"/>
      <c r="R318" s="175"/>
      <c r="S318" s="82"/>
      <c r="T318" s="82"/>
      <c r="U318" s="82"/>
      <c r="V318" s="82"/>
      <c r="W318" s="82"/>
      <c r="X318" s="82"/>
      <c r="Y318" s="82"/>
      <c r="Z318" s="82"/>
      <c r="AA318" s="82"/>
      <c r="AB318" s="82"/>
      <c r="AC318" s="82"/>
      <c r="AD318" s="82"/>
      <c r="AE318" s="82"/>
    </row>
    <row r="319" spans="1:31" ht="12.95" customHeight="1" x14ac:dyDescent="0.2">
      <c r="A319" s="26" t="s">
        <v>1033</v>
      </c>
      <c r="B319" s="29" t="s">
        <v>1034</v>
      </c>
      <c r="C319" s="172" t="s">
        <v>1035</v>
      </c>
      <c r="D319" s="186"/>
      <c r="E319" s="186">
        <f t="shared" ref="E319:Q319" si="58">E231+E209+E204-E182</f>
        <v>0</v>
      </c>
      <c r="F319" s="186">
        <f t="shared" si="58"/>
        <v>0</v>
      </c>
      <c r="G319" s="186">
        <f t="shared" si="58"/>
        <v>-21.1</v>
      </c>
      <c r="H319" s="186">
        <f t="shared" si="58"/>
        <v>126.6</v>
      </c>
      <c r="I319" s="186">
        <f t="shared" si="58"/>
        <v>139.4</v>
      </c>
      <c r="J319" s="186">
        <f t="shared" si="58"/>
        <v>137.28073930437924</v>
      </c>
      <c r="K319" s="186">
        <f t="shared" si="58"/>
        <v>136.32320331340432</v>
      </c>
      <c r="L319" s="186">
        <f t="shared" si="58"/>
        <v>135.72412759090719</v>
      </c>
      <c r="M319" s="186">
        <f t="shared" si="58"/>
        <v>134.48220798548363</v>
      </c>
      <c r="N319" s="186">
        <f t="shared" si="58"/>
        <v>133.62699192883491</v>
      </c>
      <c r="O319" s="186">
        <f t="shared" si="58"/>
        <v>133.08555193529253</v>
      </c>
      <c r="P319" s="186">
        <f t="shared" si="58"/>
        <v>132.80028118576075</v>
      </c>
      <c r="Q319" s="186">
        <f t="shared" si="58"/>
        <v>132.72576038204107</v>
      </c>
      <c r="R319" s="175"/>
      <c r="S319" s="82" t="str">
        <f>_xll.BLUEMATRIX2("/servlet/excelData",E319,$B$1,$B319&amp;":"&amp;E$115&amp;":"&amp;$R$114)</f>
        <v>#</v>
      </c>
      <c r="T319" s="82" t="str">
        <f>_xll.BLUEMATRIX2("/servlet/excelData",F319,$B$1,$B319&amp;":"&amp;F$115&amp;":"&amp;$R$114)</f>
        <v>#</v>
      </c>
      <c r="U319" s="82" t="str">
        <f>_xll.BLUEMATRIX2("/servlet/excelData",G319,$B$1,$B319&amp;":"&amp;G$115&amp;":"&amp;$R$114)</f>
        <v>#</v>
      </c>
      <c r="V319" s="82" t="str">
        <f>_xll.BLUEMATRIX2("/servlet/excelData",H319,$B$1,$B319&amp;":"&amp;H$115&amp;":"&amp;$R$114)</f>
        <v>#</v>
      </c>
      <c r="W319" s="82" t="str">
        <f>_xll.BLUEMATRIX2("/servlet/excelData",I319,$B$1,$B319&amp;":"&amp;I$115&amp;":"&amp;$R$114)</f>
        <v>#</v>
      </c>
      <c r="X319" s="82" t="str">
        <f>_xll.BLUEMATRIX2("/servlet/excelData",J319,$B$1,$B319&amp;":"&amp;J$115&amp;":"&amp;$R$114)</f>
        <v>#</v>
      </c>
      <c r="Y319" s="82" t="str">
        <f>_xll.BLUEMATRIX2("/servlet/excelData",K319,$B$1,$B319&amp;":"&amp;K$115&amp;":"&amp;$R$114)</f>
        <v>#</v>
      </c>
      <c r="Z319" s="82" t="str">
        <f>_xll.BLUEMATRIX2("/servlet/excelData",L319,$B$1,$B319&amp;":"&amp;L$115&amp;":"&amp;$R$114)</f>
        <v>#</v>
      </c>
      <c r="AA319" s="82" t="str">
        <f>_xll.BLUEMATRIX2("/servlet/excelData",M319,$B$1,$B319&amp;":"&amp;M$115&amp;":"&amp;$R$114)</f>
        <v>#</v>
      </c>
      <c r="AB319" s="82" t="str">
        <f>_xll.BLUEMATRIX2("/servlet/excelData",N319,$B$1,$B319&amp;":"&amp;N$115&amp;":"&amp;$R$114)</f>
        <v>#</v>
      </c>
      <c r="AC319" s="82" t="str">
        <f>_xll.BLUEMATRIX2("/servlet/excelData",O319,$B$1,$B319&amp;":"&amp;O$115&amp;":"&amp;$R$114)</f>
        <v>#</v>
      </c>
      <c r="AD319" s="82" t="str">
        <f>_xll.BLUEMATRIX2("/servlet/excelData",P319,$B$1,$B319&amp;":"&amp;P$115&amp;":"&amp;$R$114)</f>
        <v>#</v>
      </c>
      <c r="AE319" s="82" t="str">
        <f>_xll.BLUEMATRIX2("/servlet/excelData",Q319,$B$1,$B319&amp;":"&amp;Q$115&amp;":"&amp;$R$114)</f>
        <v>#</v>
      </c>
    </row>
    <row r="320" spans="1:31" ht="12.95" customHeight="1" x14ac:dyDescent="0.2">
      <c r="A320" s="26" t="s">
        <v>1036</v>
      </c>
      <c r="B320" s="29" t="s">
        <v>1037</v>
      </c>
      <c r="C320" s="187" t="s">
        <v>1038</v>
      </c>
      <c r="D320" s="181"/>
      <c r="E320" s="181" t="str">
        <f>IF(ISERROR(E156/AVERAGE(E319:E319)),"nm",E156/AVERAGE(E319:E319))</f>
        <v>nm</v>
      </c>
      <c r="F320" s="181" t="str">
        <f t="shared" ref="F320:Q320" si="59">IF(ISERROR(F156/AVERAGE(E319:F319)),"nm",F156/AVERAGE(E319:F319))</f>
        <v>nm</v>
      </c>
      <c r="G320" s="181">
        <f t="shared" si="59"/>
        <v>0</v>
      </c>
      <c r="H320" s="181">
        <f t="shared" si="59"/>
        <v>5.8767772511848351E-2</v>
      </c>
      <c r="I320" s="181">
        <f t="shared" si="59"/>
        <v>-0.15037593984962405</v>
      </c>
      <c r="J320" s="181">
        <f t="shared" si="59"/>
        <v>4.5553998984501541E-2</v>
      </c>
      <c r="K320" s="181">
        <f t="shared" si="59"/>
        <v>8.3431778288356503E-2</v>
      </c>
      <c r="L320" s="181">
        <f t="shared" si="59"/>
        <v>0.11220340404921052</v>
      </c>
      <c r="M320" s="181">
        <f t="shared" si="59"/>
        <v>0.13336837722173223</v>
      </c>
      <c r="N320" s="181">
        <f t="shared" si="59"/>
        <v>0.15288656185903224</v>
      </c>
      <c r="O320" s="181">
        <f t="shared" si="59"/>
        <v>0.16414341452474049</v>
      </c>
      <c r="P320" s="181">
        <f t="shared" si="59"/>
        <v>0.17511861080005703</v>
      </c>
      <c r="Q320" s="181">
        <f t="shared" si="59"/>
        <v>0.18592332739501968</v>
      </c>
      <c r="R320" s="175"/>
      <c r="S320" s="82" t="str">
        <f>_xll.BLUEMATRIX2("/servlet/excelData",E320,$B$1,$B320&amp;":"&amp;E$115&amp;":"&amp;$R$114)</f>
        <v>#</v>
      </c>
      <c r="T320" s="82" t="str">
        <f>_xll.BLUEMATRIX2("/servlet/excelData",F320,$B$1,$B320&amp;":"&amp;F$115&amp;":"&amp;$R$114)</f>
        <v>#</v>
      </c>
      <c r="U320" s="82" t="str">
        <f>_xll.BLUEMATRIX2("/servlet/excelData",G320,$B$1,$B320&amp;":"&amp;G$115&amp;":"&amp;$R$114)</f>
        <v>#</v>
      </c>
      <c r="V320" s="82" t="str">
        <f>_xll.BLUEMATRIX2("/servlet/excelData",H320,$B$1,$B320&amp;":"&amp;H$115&amp;":"&amp;$R$114)</f>
        <v>#</v>
      </c>
      <c r="W320" s="82" t="str">
        <f>_xll.BLUEMATRIX2("/servlet/excelData",I320,$B$1,$B320&amp;":"&amp;I$115&amp;":"&amp;$R$114)</f>
        <v>#</v>
      </c>
      <c r="X320" s="82" t="str">
        <f>_xll.BLUEMATRIX2("/servlet/excelData",J320,$B$1,$B320&amp;":"&amp;J$115&amp;":"&amp;$R$114)</f>
        <v>#</v>
      </c>
      <c r="Y320" s="82" t="str">
        <f>_xll.BLUEMATRIX2("/servlet/excelData",K320,$B$1,$B320&amp;":"&amp;K$115&amp;":"&amp;$R$114)</f>
        <v>#</v>
      </c>
      <c r="Z320" s="82" t="str">
        <f>_xll.BLUEMATRIX2("/servlet/excelData",L320,$B$1,$B320&amp;":"&amp;L$115&amp;":"&amp;$R$114)</f>
        <v>#</v>
      </c>
      <c r="AA320" s="82" t="str">
        <f>_xll.BLUEMATRIX2("/servlet/excelData",M320,$B$1,$B320&amp;":"&amp;M$115&amp;":"&amp;$R$114)</f>
        <v>#</v>
      </c>
      <c r="AB320" s="82" t="str">
        <f>_xll.BLUEMATRIX2("/servlet/excelData",N320,$B$1,$B320&amp;":"&amp;N$115&amp;":"&amp;$R$114)</f>
        <v>#</v>
      </c>
      <c r="AC320" s="82" t="str">
        <f>_xll.BLUEMATRIX2("/servlet/excelData",O320,$B$1,$B320&amp;":"&amp;O$115&amp;":"&amp;$R$114)</f>
        <v>#</v>
      </c>
      <c r="AD320" s="82" t="str">
        <f>_xll.BLUEMATRIX2("/servlet/excelData",P320,$B$1,$B320&amp;":"&amp;P$115&amp;":"&amp;$R$114)</f>
        <v>#</v>
      </c>
      <c r="AE320" s="82" t="str">
        <f>_xll.BLUEMATRIX2("/servlet/excelData",Q320,$B$1,$B320&amp;":"&amp;Q$115&amp;":"&amp;$R$114)</f>
        <v>#</v>
      </c>
    </row>
    <row r="321" spans="1:31" ht="12.95" customHeight="1" x14ac:dyDescent="0.2">
      <c r="A321" s="26" t="s">
        <v>1039</v>
      </c>
      <c r="B321" s="29" t="s">
        <v>1040</v>
      </c>
      <c r="C321" s="187" t="s">
        <v>1041</v>
      </c>
      <c r="D321" s="181"/>
      <c r="E321" s="181" t="str">
        <f>IF(ISERROR(E149/AVERAGE(E319:E319)),"nm",E149/AVERAGE(E319:E319))</f>
        <v>nm</v>
      </c>
      <c r="F321" s="181" t="str">
        <f t="shared" ref="F321:Q321" si="60">IF(ISERROR(F149/AVERAGE(E319:F319)),"nm",F149/AVERAGE(E319:F319))</f>
        <v>nm</v>
      </c>
      <c r="G321" s="181">
        <f t="shared" si="60"/>
        <v>0</v>
      </c>
      <c r="H321" s="181">
        <f t="shared" si="60"/>
        <v>0.13649289099526066</v>
      </c>
      <c r="I321" s="181">
        <f t="shared" si="60"/>
        <v>-5.338345864661654E-2</v>
      </c>
      <c r="J321" s="181">
        <f t="shared" si="60"/>
        <v>0.11906642311284775</v>
      </c>
      <c r="K321" s="181">
        <f t="shared" si="60"/>
        <v>0.15774895275301104</v>
      </c>
      <c r="L321" s="181">
        <f t="shared" si="60"/>
        <v>0.18769567714120708</v>
      </c>
      <c r="M321" s="181">
        <f t="shared" si="60"/>
        <v>0.21038481995770414</v>
      </c>
      <c r="N321" s="181">
        <f t="shared" si="60"/>
        <v>0.2310384800250658</v>
      </c>
      <c r="O321" s="181">
        <f t="shared" si="60"/>
        <v>0.24395907157458285</v>
      </c>
      <c r="P321" s="181">
        <f t="shared" si="60"/>
        <v>0.25705507968011859</v>
      </c>
      <c r="Q321" s="181">
        <f t="shared" si="60"/>
        <v>0.27037834546686246</v>
      </c>
      <c r="R321" s="175"/>
      <c r="S321" s="82" t="str">
        <f>_xll.BLUEMATRIX2("/servlet/excelData",E321,$B$1,$B321&amp;":"&amp;E$115&amp;":"&amp;$R$114)</f>
        <v>#</v>
      </c>
      <c r="T321" s="82" t="str">
        <f>_xll.BLUEMATRIX2("/servlet/excelData",F321,$B$1,$B321&amp;":"&amp;F$115&amp;":"&amp;$R$114)</f>
        <v>#</v>
      </c>
      <c r="U321" s="82" t="str">
        <f>_xll.BLUEMATRIX2("/servlet/excelData",G321,$B$1,$B321&amp;":"&amp;G$115&amp;":"&amp;$R$114)</f>
        <v>#</v>
      </c>
      <c r="V321" s="82" t="str">
        <f>_xll.BLUEMATRIX2("/servlet/excelData",H321,$B$1,$B321&amp;":"&amp;H$115&amp;":"&amp;$R$114)</f>
        <v>#</v>
      </c>
      <c r="W321" s="82" t="str">
        <f>_xll.BLUEMATRIX2("/servlet/excelData",I321,$B$1,$B321&amp;":"&amp;I$115&amp;":"&amp;$R$114)</f>
        <v>#</v>
      </c>
      <c r="X321" s="82" t="str">
        <f>_xll.BLUEMATRIX2("/servlet/excelData",J321,$B$1,$B321&amp;":"&amp;J$115&amp;":"&amp;$R$114)</f>
        <v>#</v>
      </c>
      <c r="Y321" s="82" t="str">
        <f>_xll.BLUEMATRIX2("/servlet/excelData",K321,$B$1,$B321&amp;":"&amp;K$115&amp;":"&amp;$R$114)</f>
        <v>#</v>
      </c>
      <c r="Z321" s="82" t="str">
        <f>_xll.BLUEMATRIX2("/servlet/excelData",L321,$B$1,$B321&amp;":"&amp;L$115&amp;":"&amp;$R$114)</f>
        <v>#</v>
      </c>
      <c r="AA321" s="82" t="str">
        <f>_xll.BLUEMATRIX2("/servlet/excelData",M321,$B$1,$B321&amp;":"&amp;M$115&amp;":"&amp;$R$114)</f>
        <v>#</v>
      </c>
      <c r="AB321" s="82" t="str">
        <f>_xll.BLUEMATRIX2("/servlet/excelData",N321,$B$1,$B321&amp;":"&amp;N$115&amp;":"&amp;$R$114)</f>
        <v>#</v>
      </c>
      <c r="AC321" s="82" t="str">
        <f>_xll.BLUEMATRIX2("/servlet/excelData",O321,$B$1,$B321&amp;":"&amp;O$115&amp;":"&amp;$R$114)</f>
        <v>#</v>
      </c>
      <c r="AD321" s="82" t="str">
        <f>_xll.BLUEMATRIX2("/servlet/excelData",P321,$B$1,$B321&amp;":"&amp;P$115&amp;":"&amp;$R$114)</f>
        <v>#</v>
      </c>
      <c r="AE321" s="82" t="str">
        <f>_xll.BLUEMATRIX2("/servlet/excelData",Q321,$B$1,$B321&amp;":"&amp;Q$115&amp;":"&amp;$R$114)</f>
        <v>#</v>
      </c>
    </row>
    <row r="322" spans="1:31" ht="12.95" customHeight="1" x14ac:dyDescent="0.2">
      <c r="A322" s="26" t="s">
        <v>1042</v>
      </c>
      <c r="B322" s="29" t="s">
        <v>1043</v>
      </c>
      <c r="C322" s="165" t="s">
        <v>1044</v>
      </c>
      <c r="D322" s="181"/>
      <c r="E322" s="181" t="str">
        <f>IF(ISERROR(E169/AVERAGE(E228:E228)),"nm",E169/AVERAGE(E228:E228))</f>
        <v>nm</v>
      </c>
      <c r="F322" s="181" t="str">
        <f t="shared" ref="F322:Q322" si="61">IF(ISERROR(F169/AVERAGE(E228:F228)),"nm",F169/AVERAGE(E228:F228))</f>
        <v>nm</v>
      </c>
      <c r="G322" s="181">
        <f t="shared" si="61"/>
        <v>0</v>
      </c>
      <c r="H322" s="181">
        <f t="shared" si="61"/>
        <v>4.7642679900744417E-2</v>
      </c>
      <c r="I322" s="181">
        <f t="shared" si="61"/>
        <v>-0.12492456246228123</v>
      </c>
      <c r="J322" s="181">
        <f t="shared" si="61"/>
        <v>2.721087092449127E-2</v>
      </c>
      <c r="K322" s="181">
        <f t="shared" si="61"/>
        <v>4.8226444376892968E-2</v>
      </c>
      <c r="L322" s="181">
        <f t="shared" si="61"/>
        <v>6.0561972954627903E-2</v>
      </c>
      <c r="M322" s="181">
        <f t="shared" si="61"/>
        <v>7.0314380171445229E-2</v>
      </c>
      <c r="N322" s="181">
        <f t="shared" si="61"/>
        <v>7.6935757958906059E-2</v>
      </c>
      <c r="O322" s="181">
        <f t="shared" si="61"/>
        <v>7.7771016714838589E-2</v>
      </c>
      <c r="P322" s="181">
        <f t="shared" si="61"/>
        <v>7.8104242566030102E-2</v>
      </c>
      <c r="Q322" s="181">
        <f t="shared" si="61"/>
        <v>7.8024241559709065E-2</v>
      </c>
      <c r="R322" s="175"/>
      <c r="S322" s="82" t="str">
        <f>_xll.BLUEMATRIX2("/servlet/excelData",E322,$B$1,$B322&amp;":"&amp;E$115&amp;":"&amp;$R$114)</f>
        <v>#</v>
      </c>
      <c r="T322" s="82" t="str">
        <f>_xll.BLUEMATRIX2("/servlet/excelData",F322,$B$1,$B322&amp;":"&amp;F$115&amp;":"&amp;$R$114)</f>
        <v>#</v>
      </c>
      <c r="U322" s="82" t="str">
        <f>_xll.BLUEMATRIX2("/servlet/excelData",G322,$B$1,$B322&amp;":"&amp;G$115&amp;":"&amp;$R$114)</f>
        <v>#</v>
      </c>
      <c r="V322" s="82" t="str">
        <f>_xll.BLUEMATRIX2("/servlet/excelData",H322,$B$1,$B322&amp;":"&amp;H$115&amp;":"&amp;$R$114)</f>
        <v>#</v>
      </c>
      <c r="W322" s="82" t="str">
        <f>_xll.BLUEMATRIX2("/servlet/excelData",I322,$B$1,$B322&amp;":"&amp;I$115&amp;":"&amp;$R$114)</f>
        <v>#</v>
      </c>
      <c r="X322" s="82" t="str">
        <f>_xll.BLUEMATRIX2("/servlet/excelData",J322,$B$1,$B322&amp;":"&amp;J$115&amp;":"&amp;$R$114)</f>
        <v>#</v>
      </c>
      <c r="Y322" s="82" t="str">
        <f>_xll.BLUEMATRIX2("/servlet/excelData",K322,$B$1,$B322&amp;":"&amp;K$115&amp;":"&amp;$R$114)</f>
        <v>#</v>
      </c>
      <c r="Z322" s="82" t="str">
        <f>_xll.BLUEMATRIX2("/servlet/excelData",L322,$B$1,$B322&amp;":"&amp;L$115&amp;":"&amp;$R$114)</f>
        <v>#</v>
      </c>
      <c r="AA322" s="82" t="str">
        <f>_xll.BLUEMATRIX2("/servlet/excelData",M322,$B$1,$B322&amp;":"&amp;M$115&amp;":"&amp;$R$114)</f>
        <v>#</v>
      </c>
      <c r="AB322" s="82" t="str">
        <f>_xll.BLUEMATRIX2("/servlet/excelData",N322,$B$1,$B322&amp;":"&amp;N$115&amp;":"&amp;$R$114)</f>
        <v>#</v>
      </c>
      <c r="AC322" s="82" t="str">
        <f>_xll.BLUEMATRIX2("/servlet/excelData",O322,$B$1,$B322&amp;":"&amp;O$115&amp;":"&amp;$R$114)</f>
        <v>#</v>
      </c>
      <c r="AD322" s="82" t="str">
        <f>_xll.BLUEMATRIX2("/servlet/excelData",P322,$B$1,$B322&amp;":"&amp;P$115&amp;":"&amp;$R$114)</f>
        <v>#</v>
      </c>
      <c r="AE322" s="82" t="str">
        <f>_xll.BLUEMATRIX2("/servlet/excelData",Q322,$B$1,$B322&amp;":"&amp;Q$115&amp;":"&amp;$R$114)</f>
        <v>#</v>
      </c>
    </row>
    <row r="323" spans="1:31" ht="12.95" customHeight="1" x14ac:dyDescent="0.2">
      <c r="A323" s="26" t="s">
        <v>1045</v>
      </c>
      <c r="B323" s="29" t="s">
        <v>1046</v>
      </c>
      <c r="C323" s="165" t="s">
        <v>1047</v>
      </c>
      <c r="D323" s="181"/>
      <c r="E323" s="181" t="str">
        <f>IF(ISERROR(E156/AVERAGE(E197:E197)),"nm",E156/AVERAGE(E197:E197))</f>
        <v>nm</v>
      </c>
      <c r="F323" s="181" t="str">
        <f t="shared" ref="F323:Q323" si="62">IF(ISERROR(F156/AVERAGE(E197:F197)),"nm",F156/AVERAGE(E197:F197))</f>
        <v>nm</v>
      </c>
      <c r="G323" s="181">
        <f t="shared" si="62"/>
        <v>0</v>
      </c>
      <c r="H323" s="181">
        <f t="shared" si="62"/>
        <v>1.9368947203998756E-2</v>
      </c>
      <c r="I323" s="181">
        <f t="shared" si="62"/>
        <v>-8.0580177276390011E-2</v>
      </c>
      <c r="J323" s="181">
        <f t="shared" si="62"/>
        <v>2.9374293208720655E-2</v>
      </c>
      <c r="K323" s="181">
        <f t="shared" si="62"/>
        <v>5.2156160768188721E-2</v>
      </c>
      <c r="L323" s="181">
        <f t="shared" si="62"/>
        <v>6.7136390998979542E-2</v>
      </c>
      <c r="M323" s="181">
        <f t="shared" si="62"/>
        <v>7.555316056940159E-2</v>
      </c>
      <c r="N323" s="181">
        <f t="shared" si="62"/>
        <v>8.1425224551817832E-2</v>
      </c>
      <c r="O323" s="181">
        <f t="shared" si="62"/>
        <v>8.2126297117253305E-2</v>
      </c>
      <c r="P323" s="181">
        <f t="shared" si="62"/>
        <v>8.2374986241375681E-2</v>
      </c>
      <c r="Q323" s="181">
        <f t="shared" si="62"/>
        <v>8.2284716264625135E-2</v>
      </c>
      <c r="R323" s="175"/>
      <c r="S323" s="82" t="str">
        <f>_xll.BLUEMATRIX2("/servlet/excelData",E323,$B$1,$B323&amp;":"&amp;E$115&amp;":"&amp;$R$114)</f>
        <v>#</v>
      </c>
      <c r="T323" s="82" t="str">
        <f>_xll.BLUEMATRIX2("/servlet/excelData",F323,$B$1,$B323&amp;":"&amp;F$115&amp;":"&amp;$R$114)</f>
        <v>#</v>
      </c>
      <c r="U323" s="82" t="str">
        <f>_xll.BLUEMATRIX2("/servlet/excelData",G323,$B$1,$B323&amp;":"&amp;G$115&amp;":"&amp;$R$114)</f>
        <v>#</v>
      </c>
      <c r="V323" s="82" t="str">
        <f>_xll.BLUEMATRIX2("/servlet/excelData",H323,$B$1,$B323&amp;":"&amp;H$115&amp;":"&amp;$R$114)</f>
        <v>#</v>
      </c>
      <c r="W323" s="82" t="str">
        <f>_xll.BLUEMATRIX2("/servlet/excelData",I323,$B$1,$B323&amp;":"&amp;I$115&amp;":"&amp;$R$114)</f>
        <v>#</v>
      </c>
      <c r="X323" s="82" t="str">
        <f>_xll.BLUEMATRIX2("/servlet/excelData",J323,$B$1,$B323&amp;":"&amp;J$115&amp;":"&amp;$R$114)</f>
        <v>#</v>
      </c>
      <c r="Y323" s="82" t="str">
        <f>_xll.BLUEMATRIX2("/servlet/excelData",K323,$B$1,$B323&amp;":"&amp;K$115&amp;":"&amp;$R$114)</f>
        <v>#</v>
      </c>
      <c r="Z323" s="82" t="str">
        <f>_xll.BLUEMATRIX2("/servlet/excelData",L323,$B$1,$B323&amp;":"&amp;L$115&amp;":"&amp;$R$114)</f>
        <v>#</v>
      </c>
      <c r="AA323" s="82" t="str">
        <f>_xll.BLUEMATRIX2("/servlet/excelData",M323,$B$1,$B323&amp;":"&amp;M$115&amp;":"&amp;$R$114)</f>
        <v>#</v>
      </c>
      <c r="AB323" s="82" t="str">
        <f>_xll.BLUEMATRIX2("/servlet/excelData",N323,$B$1,$B323&amp;":"&amp;N$115&amp;":"&amp;$R$114)</f>
        <v>#</v>
      </c>
      <c r="AC323" s="82" t="str">
        <f>_xll.BLUEMATRIX2("/servlet/excelData",O323,$B$1,$B323&amp;":"&amp;O$115&amp;":"&amp;$R$114)</f>
        <v>#</v>
      </c>
      <c r="AD323" s="82" t="str">
        <f>_xll.BLUEMATRIX2("/servlet/excelData",P323,$B$1,$B323&amp;":"&amp;P$115&amp;":"&amp;$R$114)</f>
        <v>#</v>
      </c>
      <c r="AE323" s="82" t="str">
        <f>_xll.BLUEMATRIX2("/servlet/excelData",Q323,$B$1,$B323&amp;":"&amp;Q$115&amp;":"&amp;$R$114)</f>
        <v>#</v>
      </c>
    </row>
    <row r="324" spans="1:31" ht="12.95" customHeight="1" x14ac:dyDescent="0.2">
      <c r="A324" s="26"/>
      <c r="B324" s="29"/>
      <c r="C324" s="169"/>
      <c r="D324" s="175"/>
      <c r="E324" s="175"/>
      <c r="F324" s="175"/>
      <c r="G324" s="175"/>
      <c r="H324" s="175"/>
      <c r="I324" s="175"/>
      <c r="J324" s="175"/>
      <c r="K324" s="175"/>
      <c r="L324" s="175"/>
      <c r="M324" s="175"/>
      <c r="N324" s="175"/>
      <c r="O324" s="175"/>
      <c r="P324" s="175"/>
      <c r="Q324" s="175"/>
      <c r="R324" s="175"/>
      <c r="S324" s="82"/>
      <c r="T324" s="82"/>
      <c r="U324" s="82"/>
      <c r="V324" s="82"/>
      <c r="W324" s="82"/>
      <c r="X324" s="82"/>
      <c r="Y324" s="82"/>
      <c r="Z324" s="82"/>
      <c r="AA324" s="82"/>
      <c r="AB324" s="82"/>
      <c r="AC324" s="82"/>
      <c r="AD324" s="82"/>
      <c r="AE324" s="82"/>
    </row>
    <row r="325" spans="1:31" ht="12.95" customHeight="1" x14ac:dyDescent="0.2">
      <c r="A325" s="26" t="s">
        <v>1048</v>
      </c>
      <c r="B325" s="29" t="s">
        <v>1049</v>
      </c>
      <c r="C325" s="165" t="s">
        <v>1050</v>
      </c>
      <c r="D325" s="181"/>
      <c r="E325" s="181" t="str">
        <f t="shared" ref="E325:Q325" si="63">IF(ISERROR(E232/E228),"nm",E232/E228)</f>
        <v>nm</v>
      </c>
      <c r="F325" s="181" t="str">
        <f t="shared" si="63"/>
        <v>nm</v>
      </c>
      <c r="G325" s="181">
        <f t="shared" si="63"/>
        <v>-7.3939393939393998</v>
      </c>
      <c r="H325" s="181">
        <f t="shared" si="63"/>
        <v>-0.36125126135216962</v>
      </c>
      <c r="I325" s="181">
        <f t="shared" si="63"/>
        <v>4.6546546546546511E-2</v>
      </c>
      <c r="J325" s="181">
        <f t="shared" si="63"/>
        <v>3.3590227352132733E-2</v>
      </c>
      <c r="K325" s="181">
        <f t="shared" si="63"/>
        <v>-1.4708701260141822E-2</v>
      </c>
      <c r="L325" s="181">
        <f t="shared" si="63"/>
        <v>-7.6701458376585152E-2</v>
      </c>
      <c r="M325" s="181">
        <f t="shared" si="63"/>
        <v>-0.14729230238500032</v>
      </c>
      <c r="N325" s="181">
        <f t="shared" si="63"/>
        <v>-0.21548676666734279</v>
      </c>
      <c r="O325" s="181">
        <f t="shared" si="63"/>
        <v>-0.2771562521311326</v>
      </c>
      <c r="P325" s="181">
        <f t="shared" si="63"/>
        <v>-0.33292446586874291</v>
      </c>
      <c r="Q325" s="181">
        <f t="shared" si="63"/>
        <v>-0.38336448216765256</v>
      </c>
      <c r="R325" s="175"/>
      <c r="S325" s="82" t="str">
        <f>_xll.BLUEMATRIX2("/servlet/excelData",E325,$B$1,$B325&amp;":"&amp;E$115&amp;":"&amp;$R$114)</f>
        <v>#</v>
      </c>
      <c r="T325" s="82" t="str">
        <f>_xll.BLUEMATRIX2("/servlet/excelData",F325,$B$1,$B325&amp;":"&amp;F$115&amp;":"&amp;$R$114)</f>
        <v>#</v>
      </c>
      <c r="U325" s="82" t="str">
        <f>_xll.BLUEMATRIX2("/servlet/excelData",G325,$B$1,$B325&amp;":"&amp;G$115&amp;":"&amp;$R$114)</f>
        <v>#</v>
      </c>
      <c r="V325" s="82" t="str">
        <f>_xll.BLUEMATRIX2("/servlet/excelData",H325,$B$1,$B325&amp;":"&amp;H$115&amp;":"&amp;$R$114)</f>
        <v>#</v>
      </c>
      <c r="W325" s="82" t="str">
        <f>_xll.BLUEMATRIX2("/servlet/excelData",I325,$B$1,$B325&amp;":"&amp;I$115&amp;":"&amp;$R$114)</f>
        <v>#</v>
      </c>
      <c r="X325" s="82" t="str">
        <f>_xll.BLUEMATRIX2("/servlet/excelData",J325,$B$1,$B325&amp;":"&amp;J$115&amp;":"&amp;$R$114)</f>
        <v>#</v>
      </c>
      <c r="Y325" s="82" t="str">
        <f>_xll.BLUEMATRIX2("/servlet/excelData",K325,$B$1,$B325&amp;":"&amp;K$115&amp;":"&amp;$R$114)</f>
        <v>#</v>
      </c>
      <c r="Z325" s="82" t="str">
        <f>_xll.BLUEMATRIX2("/servlet/excelData",L325,$B$1,$B325&amp;":"&amp;L$115&amp;":"&amp;$R$114)</f>
        <v>#</v>
      </c>
      <c r="AA325" s="82" t="str">
        <f>_xll.BLUEMATRIX2("/servlet/excelData",M325,$B$1,$B325&amp;":"&amp;M$115&amp;":"&amp;$R$114)</f>
        <v>#</v>
      </c>
      <c r="AB325" s="82" t="str">
        <f>_xll.BLUEMATRIX2("/servlet/excelData",N325,$B$1,$B325&amp;":"&amp;N$115&amp;":"&amp;$R$114)</f>
        <v>#</v>
      </c>
      <c r="AC325" s="82" t="str">
        <f>_xll.BLUEMATRIX2("/servlet/excelData",O325,$B$1,$B325&amp;":"&amp;O$115&amp;":"&amp;$R$114)</f>
        <v>#</v>
      </c>
      <c r="AD325" s="82" t="str">
        <f>_xll.BLUEMATRIX2("/servlet/excelData",P325,$B$1,$B325&amp;":"&amp;P$115&amp;":"&amp;$R$114)</f>
        <v>#</v>
      </c>
      <c r="AE325" s="82" t="str">
        <f>_xll.BLUEMATRIX2("/servlet/excelData",Q325,$B$1,$B325&amp;":"&amp;Q$115&amp;":"&amp;$R$114)</f>
        <v>#</v>
      </c>
    </row>
    <row r="326" spans="1:31" ht="12.95" customHeight="1" x14ac:dyDescent="0.2">
      <c r="A326" s="26" t="s">
        <v>1051</v>
      </c>
      <c r="B326" s="29" t="s">
        <v>1052</v>
      </c>
      <c r="C326" s="165" t="s">
        <v>1053</v>
      </c>
      <c r="D326" s="181"/>
      <c r="E326" s="181" t="str">
        <f t="shared" ref="E326:Q326" si="64">IF(ISERROR(E232/(E228+E232)),"nm",E232/(E228+E232))</f>
        <v>nm</v>
      </c>
      <c r="F326" s="181" t="str">
        <f t="shared" si="64"/>
        <v>nm</v>
      </c>
      <c r="G326" s="181">
        <f t="shared" si="64"/>
        <v>1.1563981042654028</v>
      </c>
      <c r="H326" s="181">
        <f t="shared" si="64"/>
        <v>-0.5655608214849922</v>
      </c>
      <c r="I326" s="181">
        <f t="shared" si="64"/>
        <v>4.4476327116212307E-2</v>
      </c>
      <c r="J326" s="181">
        <f t="shared" si="64"/>
        <v>3.2498592249836464E-2</v>
      </c>
      <c r="K326" s="181">
        <f t="shared" si="64"/>
        <v>-1.492827682427884E-2</v>
      </c>
      <c r="L326" s="181">
        <f t="shared" si="64"/>
        <v>-8.3073301774876318E-2</v>
      </c>
      <c r="M326" s="181">
        <f t="shared" si="64"/>
        <v>-0.17273481029545401</v>
      </c>
      <c r="N326" s="181">
        <f t="shared" si="64"/>
        <v>-0.27467575754196349</v>
      </c>
      <c r="O326" s="181">
        <f t="shared" si="64"/>
        <v>-0.38342484520100195</v>
      </c>
      <c r="P326" s="181">
        <f t="shared" si="64"/>
        <v>-0.49908061206639159</v>
      </c>
      <c r="Q326" s="181">
        <f t="shared" si="64"/>
        <v>-0.62170353649963228</v>
      </c>
      <c r="R326" s="175"/>
      <c r="S326" s="82" t="str">
        <f>_xll.BLUEMATRIX2("/servlet/excelData",E326,$B$1,$B326&amp;":"&amp;E$115&amp;":"&amp;$R$114)</f>
        <v>#</v>
      </c>
      <c r="T326" s="82" t="str">
        <f>_xll.BLUEMATRIX2("/servlet/excelData",F326,$B$1,$B326&amp;":"&amp;F$115&amp;":"&amp;$R$114)</f>
        <v>#</v>
      </c>
      <c r="U326" s="82" t="str">
        <f>_xll.BLUEMATRIX2("/servlet/excelData",G326,$B$1,$B326&amp;":"&amp;G$115&amp;":"&amp;$R$114)</f>
        <v>#</v>
      </c>
      <c r="V326" s="82" t="str">
        <f>_xll.BLUEMATRIX2("/servlet/excelData",H326,$B$1,$B326&amp;":"&amp;H$115&amp;":"&amp;$R$114)</f>
        <v>#</v>
      </c>
      <c r="W326" s="82" t="str">
        <f>_xll.BLUEMATRIX2("/servlet/excelData",I326,$B$1,$B326&amp;":"&amp;I$115&amp;":"&amp;$R$114)</f>
        <v>#</v>
      </c>
      <c r="X326" s="82" t="str">
        <f>_xll.BLUEMATRIX2("/servlet/excelData",J326,$B$1,$B326&amp;":"&amp;J$115&amp;":"&amp;$R$114)</f>
        <v>#</v>
      </c>
      <c r="Y326" s="82" t="str">
        <f>_xll.BLUEMATRIX2("/servlet/excelData",K326,$B$1,$B326&amp;":"&amp;K$115&amp;":"&amp;$R$114)</f>
        <v>#</v>
      </c>
      <c r="Z326" s="82" t="str">
        <f>_xll.BLUEMATRIX2("/servlet/excelData",L326,$B$1,$B326&amp;":"&amp;L$115&amp;":"&amp;$R$114)</f>
        <v>#</v>
      </c>
      <c r="AA326" s="82" t="str">
        <f>_xll.BLUEMATRIX2("/servlet/excelData",M326,$B$1,$B326&amp;":"&amp;M$115&amp;":"&amp;$R$114)</f>
        <v>#</v>
      </c>
      <c r="AB326" s="82" t="str">
        <f>_xll.BLUEMATRIX2("/servlet/excelData",N326,$B$1,$B326&amp;":"&amp;N$115&amp;":"&amp;$R$114)</f>
        <v>#</v>
      </c>
      <c r="AC326" s="82" t="str">
        <f>_xll.BLUEMATRIX2("/servlet/excelData",O326,$B$1,$B326&amp;":"&amp;O$115&amp;":"&amp;$R$114)</f>
        <v>#</v>
      </c>
      <c r="AD326" s="82" t="str">
        <f>_xll.BLUEMATRIX2("/servlet/excelData",P326,$B$1,$B326&amp;":"&amp;P$115&amp;":"&amp;$R$114)</f>
        <v>#</v>
      </c>
      <c r="AE326" s="82" t="str">
        <f>_xll.BLUEMATRIX2("/servlet/excelData",Q326,$B$1,$B326&amp;":"&amp;Q$115&amp;":"&amp;$R$114)</f>
        <v>#</v>
      </c>
    </row>
    <row r="327" spans="1:31" ht="12.95" customHeight="1" x14ac:dyDescent="0.2">
      <c r="A327" s="26" t="s">
        <v>1054</v>
      </c>
      <c r="B327" s="29" t="s">
        <v>1055</v>
      </c>
      <c r="C327" s="165" t="s">
        <v>1056</v>
      </c>
      <c r="D327" s="173"/>
      <c r="E327" s="188" t="str">
        <f t="shared" ref="E327:Q327" si="65">IF(ISERROR(E232/E149),"nm",E232/E149)</f>
        <v>nm</v>
      </c>
      <c r="F327" s="188" t="str">
        <f t="shared" si="65"/>
        <v>nm</v>
      </c>
      <c r="G327" s="188" t="str">
        <f t="shared" si="65"/>
        <v>nm</v>
      </c>
      <c r="H327" s="188">
        <f t="shared" si="65"/>
        <v>-9.9444444444444446</v>
      </c>
      <c r="I327" s="188">
        <f t="shared" si="65"/>
        <v>-0.8732394366197177</v>
      </c>
      <c r="J327" s="188">
        <f t="shared" si="65"/>
        <v>0.27085441514966446</v>
      </c>
      <c r="K327" s="188">
        <f t="shared" si="65"/>
        <v>-9.4301938878965819E-2</v>
      </c>
      <c r="L327" s="188">
        <f t="shared" si="65"/>
        <v>-0.44162107103064097</v>
      </c>
      <c r="M327" s="188">
        <f t="shared" si="65"/>
        <v>-0.8172685099409186</v>
      </c>
      <c r="N327" s="188">
        <f t="shared" si="65"/>
        <v>-1.1850822227427051</v>
      </c>
      <c r="O327" s="188">
        <f t="shared" si="65"/>
        <v>-1.5684863483271263</v>
      </c>
      <c r="P327" s="188">
        <f t="shared" si="65"/>
        <v>-1.9394487191067225</v>
      </c>
      <c r="Q327" s="188">
        <f t="shared" si="65"/>
        <v>-2.2987382816270596</v>
      </c>
      <c r="R327" s="175"/>
      <c r="S327" s="82" t="str">
        <f>_xll.BLUEMATRIX2("/servlet/excelData",E327,$B$1,$B327&amp;":"&amp;E$115&amp;":"&amp;$R$114)</f>
        <v>#</v>
      </c>
      <c r="T327" s="82" t="str">
        <f>_xll.BLUEMATRIX2("/servlet/excelData",F327,$B$1,$B327&amp;":"&amp;F$115&amp;":"&amp;$R$114)</f>
        <v>#</v>
      </c>
      <c r="U327" s="82" t="str">
        <f>_xll.BLUEMATRIX2("/servlet/excelData",G327,$B$1,$B327&amp;":"&amp;G$115&amp;":"&amp;$R$114)</f>
        <v>#</v>
      </c>
      <c r="V327" s="82" t="str">
        <f>_xll.BLUEMATRIX2("/servlet/excelData",H327,$B$1,$B327&amp;":"&amp;H$115&amp;":"&amp;$R$114)</f>
        <v>#</v>
      </c>
      <c r="W327" s="82" t="str">
        <f>_xll.BLUEMATRIX2("/servlet/excelData",I327,$B$1,$B327&amp;":"&amp;I$115&amp;":"&amp;$R$114)</f>
        <v>#</v>
      </c>
      <c r="X327" s="82" t="str">
        <f>_xll.BLUEMATRIX2("/servlet/excelData",J327,$B$1,$B327&amp;":"&amp;J$115&amp;":"&amp;$R$114)</f>
        <v>#</v>
      </c>
      <c r="Y327" s="82" t="str">
        <f>_xll.BLUEMATRIX2("/servlet/excelData",K327,$B$1,$B327&amp;":"&amp;K$115&amp;":"&amp;$R$114)</f>
        <v>#</v>
      </c>
      <c r="Z327" s="82" t="str">
        <f>_xll.BLUEMATRIX2("/servlet/excelData",L327,$B$1,$B327&amp;":"&amp;L$115&amp;":"&amp;$R$114)</f>
        <v>#</v>
      </c>
      <c r="AA327" s="82" t="str">
        <f>_xll.BLUEMATRIX2("/servlet/excelData",M327,$B$1,$B327&amp;":"&amp;M$115&amp;":"&amp;$R$114)</f>
        <v>#</v>
      </c>
      <c r="AB327" s="82" t="str">
        <f>_xll.BLUEMATRIX2("/servlet/excelData",N327,$B$1,$B327&amp;":"&amp;N$115&amp;":"&amp;$R$114)</f>
        <v>#</v>
      </c>
      <c r="AC327" s="82" t="str">
        <f>_xll.BLUEMATRIX2("/servlet/excelData",O327,$B$1,$B327&amp;":"&amp;O$115&amp;":"&amp;$R$114)</f>
        <v>#</v>
      </c>
      <c r="AD327" s="82" t="str">
        <f>_xll.BLUEMATRIX2("/servlet/excelData",P327,$B$1,$B327&amp;":"&amp;P$115&amp;":"&amp;$R$114)</f>
        <v>#</v>
      </c>
      <c r="AE327" s="82" t="str">
        <f>_xll.BLUEMATRIX2("/servlet/excelData",Q327,$B$1,$B327&amp;":"&amp;Q$115&amp;":"&amp;$R$114)</f>
        <v>#</v>
      </c>
    </row>
    <row r="328" spans="1:31" ht="12.95" customHeight="1" x14ac:dyDescent="0.2">
      <c r="A328" s="26" t="s">
        <v>1057</v>
      </c>
      <c r="B328" s="29" t="s">
        <v>1058</v>
      </c>
      <c r="C328" s="165" t="s">
        <v>1059</v>
      </c>
      <c r="D328" s="173"/>
      <c r="E328" s="188" t="str">
        <f t="shared" ref="E328:Q328" si="66">IF(ISERROR(E156/-E158),"nm",E156/-E158)</f>
        <v>nm</v>
      </c>
      <c r="F328" s="188" t="str">
        <f t="shared" si="66"/>
        <v>nm</v>
      </c>
      <c r="G328" s="188" t="str">
        <f t="shared" si="66"/>
        <v>nm</v>
      </c>
      <c r="H328" s="188" t="str">
        <f t="shared" si="66"/>
        <v>nm</v>
      </c>
      <c r="I328" s="188" t="str">
        <f t="shared" si="66"/>
        <v>nm</v>
      </c>
      <c r="J328" s="188" t="str">
        <f t="shared" si="66"/>
        <v>nm</v>
      </c>
      <c r="K328" s="188" t="str">
        <f t="shared" si="66"/>
        <v>nm</v>
      </c>
      <c r="L328" s="188" t="str">
        <f t="shared" si="66"/>
        <v>nm</v>
      </c>
      <c r="M328" s="188" t="str">
        <f t="shared" si="66"/>
        <v>nm</v>
      </c>
      <c r="N328" s="188" t="str">
        <f t="shared" si="66"/>
        <v>nm</v>
      </c>
      <c r="O328" s="188" t="str">
        <f t="shared" si="66"/>
        <v>nm</v>
      </c>
      <c r="P328" s="188" t="str">
        <f t="shared" si="66"/>
        <v>nm</v>
      </c>
      <c r="Q328" s="188" t="str">
        <f t="shared" si="66"/>
        <v>nm</v>
      </c>
      <c r="R328" s="175"/>
      <c r="S328" s="82" t="str">
        <f>_xll.BLUEMATRIX2("/servlet/excelData",E328,$B$1,$B328&amp;":"&amp;E$115&amp;":"&amp;$R$114)</f>
        <v>#</v>
      </c>
      <c r="T328" s="82" t="str">
        <f>_xll.BLUEMATRIX2("/servlet/excelData",F328,$B$1,$B328&amp;":"&amp;F$115&amp;":"&amp;$R$114)</f>
        <v>#</v>
      </c>
      <c r="U328" s="82" t="str">
        <f>_xll.BLUEMATRIX2("/servlet/excelData",G328,$B$1,$B328&amp;":"&amp;G$115&amp;":"&amp;$R$114)</f>
        <v>#</v>
      </c>
      <c r="V328" s="82" t="str">
        <f>_xll.BLUEMATRIX2("/servlet/excelData",H328,$B$1,$B328&amp;":"&amp;H$115&amp;":"&amp;$R$114)</f>
        <v>#</v>
      </c>
      <c r="W328" s="82" t="str">
        <f>_xll.BLUEMATRIX2("/servlet/excelData",I328,$B$1,$B328&amp;":"&amp;I$115&amp;":"&amp;$R$114)</f>
        <v>#</v>
      </c>
      <c r="X328" s="82" t="str">
        <f>_xll.BLUEMATRIX2("/servlet/excelData",J328,$B$1,$B328&amp;":"&amp;J$115&amp;":"&amp;$R$114)</f>
        <v>#</v>
      </c>
      <c r="Y328" s="82" t="str">
        <f>_xll.BLUEMATRIX2("/servlet/excelData",K328,$B$1,$B328&amp;":"&amp;K$115&amp;":"&amp;$R$114)</f>
        <v>#</v>
      </c>
      <c r="Z328" s="82" t="str">
        <f>_xll.BLUEMATRIX2("/servlet/excelData",L328,$B$1,$B328&amp;":"&amp;L$115&amp;":"&amp;$R$114)</f>
        <v>#</v>
      </c>
      <c r="AA328" s="82" t="str">
        <f>_xll.BLUEMATRIX2("/servlet/excelData",M328,$B$1,$B328&amp;":"&amp;M$115&amp;":"&amp;$R$114)</f>
        <v>#</v>
      </c>
      <c r="AB328" s="82" t="str">
        <f>_xll.BLUEMATRIX2("/servlet/excelData",N328,$B$1,$B328&amp;":"&amp;N$115&amp;":"&amp;$R$114)</f>
        <v>#</v>
      </c>
      <c r="AC328" s="82" t="str">
        <f>_xll.BLUEMATRIX2("/servlet/excelData",O328,$B$1,$B328&amp;":"&amp;O$115&amp;":"&amp;$R$114)</f>
        <v>#</v>
      </c>
      <c r="AD328" s="82" t="str">
        <f>_xll.BLUEMATRIX2("/servlet/excelData",P328,$B$1,$B328&amp;":"&amp;P$115&amp;":"&amp;$R$114)</f>
        <v>#</v>
      </c>
      <c r="AE328" s="82" t="str">
        <f>_xll.BLUEMATRIX2("/servlet/excelData",Q328,$B$1,$B328&amp;":"&amp;Q$115&amp;":"&amp;$R$114)</f>
        <v>#</v>
      </c>
    </row>
    <row r="329" spans="1:31" ht="12.95" customHeight="1" x14ac:dyDescent="0.2">
      <c r="A329" s="26" t="s">
        <v>1060</v>
      </c>
      <c r="B329" s="29" t="s">
        <v>1061</v>
      </c>
      <c r="C329" s="167" t="s">
        <v>1062</v>
      </c>
      <c r="D329" s="186"/>
      <c r="E329" s="186"/>
      <c r="F329" s="186"/>
      <c r="G329" s="186"/>
      <c r="H329" s="186"/>
      <c r="I329" s="186"/>
      <c r="J329" s="186"/>
      <c r="K329" s="186"/>
      <c r="L329" s="186"/>
      <c r="M329" s="186"/>
      <c r="N329" s="186"/>
      <c r="O329" s="186"/>
      <c r="P329" s="186"/>
      <c r="Q329" s="186"/>
      <c r="R329" s="175"/>
      <c r="S329" s="82" t="str">
        <f>_xll.BLUEMATRIX2("/servlet/excelData",E329,$B$1,$B329&amp;":"&amp;E$115&amp;":"&amp;$R$114)</f>
        <v>#</v>
      </c>
      <c r="T329" s="82" t="str">
        <f>_xll.BLUEMATRIX2("/servlet/excelData",F329,$B$1,$B329&amp;":"&amp;F$115&amp;":"&amp;$R$114)</f>
        <v>#</v>
      </c>
      <c r="U329" s="82" t="str">
        <f>_xll.BLUEMATRIX2("/servlet/excelData",G329,$B$1,$B329&amp;":"&amp;G$115&amp;":"&amp;$R$114)</f>
        <v>#</v>
      </c>
      <c r="V329" s="82" t="str">
        <f>_xll.BLUEMATRIX2("/servlet/excelData",H329,$B$1,$B329&amp;":"&amp;H$115&amp;":"&amp;$R$114)</f>
        <v>#</v>
      </c>
      <c r="W329" s="82" t="str">
        <f>_xll.BLUEMATRIX2("/servlet/excelData",I329,$B$1,$B329&amp;":"&amp;I$115&amp;":"&amp;$R$114)</f>
        <v>#</v>
      </c>
      <c r="X329" s="82" t="str">
        <f>_xll.BLUEMATRIX2("/servlet/excelData",J329,$B$1,$B329&amp;":"&amp;J$115&amp;":"&amp;$R$114)</f>
        <v>#</v>
      </c>
      <c r="Y329" s="82" t="str">
        <f>_xll.BLUEMATRIX2("/servlet/excelData",K329,$B$1,$B329&amp;":"&amp;K$115&amp;":"&amp;$R$114)</f>
        <v>#</v>
      </c>
      <c r="Z329" s="82" t="str">
        <f>_xll.BLUEMATRIX2("/servlet/excelData",L329,$B$1,$B329&amp;":"&amp;L$115&amp;":"&amp;$R$114)</f>
        <v>#</v>
      </c>
      <c r="AA329" s="82" t="str">
        <f>_xll.BLUEMATRIX2("/servlet/excelData",M329,$B$1,$B329&amp;":"&amp;M$115&amp;":"&amp;$R$114)</f>
        <v>#</v>
      </c>
      <c r="AB329" s="82" t="str">
        <f>_xll.BLUEMATRIX2("/servlet/excelData",N329,$B$1,$B329&amp;":"&amp;N$115&amp;":"&amp;$R$114)</f>
        <v>#</v>
      </c>
      <c r="AC329" s="82" t="str">
        <f>_xll.BLUEMATRIX2("/servlet/excelData",O329,$B$1,$B329&amp;":"&amp;O$115&amp;":"&amp;$R$114)</f>
        <v>#</v>
      </c>
      <c r="AD329" s="82" t="str">
        <f>_xll.BLUEMATRIX2("/servlet/excelData",P329,$B$1,$B329&amp;":"&amp;P$115&amp;":"&amp;$R$114)</f>
        <v>#</v>
      </c>
      <c r="AE329" s="82" t="str">
        <f>_xll.BLUEMATRIX2("/servlet/excelData",Q329,$B$1,$B329&amp;":"&amp;Q$115&amp;":"&amp;$R$114)</f>
        <v>#</v>
      </c>
    </row>
    <row r="330" spans="1:31" ht="12.95" customHeight="1" x14ac:dyDescent="0.2">
      <c r="A330" s="26" t="s">
        <v>1063</v>
      </c>
      <c r="B330" s="29" t="s">
        <v>1064</v>
      </c>
      <c r="C330" s="167" t="s">
        <v>1065</v>
      </c>
      <c r="D330" s="186"/>
      <c r="E330" s="186"/>
      <c r="F330" s="186"/>
      <c r="G330" s="186"/>
      <c r="H330" s="186"/>
      <c r="I330" s="186"/>
      <c r="J330" s="186"/>
      <c r="K330" s="186"/>
      <c r="L330" s="186"/>
      <c r="M330" s="186"/>
      <c r="N330" s="186"/>
      <c r="O330" s="186"/>
      <c r="P330" s="186"/>
      <c r="Q330" s="186"/>
      <c r="R330" s="175"/>
      <c r="S330" s="82" t="str">
        <f>_xll.BLUEMATRIX2("/servlet/excelData",E330,$B$1,$B330&amp;":"&amp;E$115&amp;":"&amp;$R$114)</f>
        <v>#</v>
      </c>
      <c r="T330" s="82" t="str">
        <f>_xll.BLUEMATRIX2("/servlet/excelData",F330,$B$1,$B330&amp;":"&amp;F$115&amp;":"&amp;$R$114)</f>
        <v>#</v>
      </c>
      <c r="U330" s="82" t="str">
        <f>_xll.BLUEMATRIX2("/servlet/excelData",G330,$B$1,$B330&amp;":"&amp;G$115&amp;":"&amp;$R$114)</f>
        <v>#</v>
      </c>
      <c r="V330" s="82" t="str">
        <f>_xll.BLUEMATRIX2("/servlet/excelData",H330,$B$1,$B330&amp;":"&amp;H$115&amp;":"&amp;$R$114)</f>
        <v>#</v>
      </c>
      <c r="W330" s="82" t="str">
        <f>_xll.BLUEMATRIX2("/servlet/excelData",I330,$B$1,$B330&amp;":"&amp;I$115&amp;":"&amp;$R$114)</f>
        <v>#</v>
      </c>
      <c r="X330" s="82" t="str">
        <f>_xll.BLUEMATRIX2("/servlet/excelData",J330,$B$1,$B330&amp;":"&amp;J$115&amp;":"&amp;$R$114)</f>
        <v>#</v>
      </c>
      <c r="Y330" s="82" t="str">
        <f>_xll.BLUEMATRIX2("/servlet/excelData",K330,$B$1,$B330&amp;":"&amp;K$115&amp;":"&amp;$R$114)</f>
        <v>#</v>
      </c>
      <c r="Z330" s="82" t="str">
        <f>_xll.BLUEMATRIX2("/servlet/excelData",L330,$B$1,$B330&amp;":"&amp;L$115&amp;":"&amp;$R$114)</f>
        <v>#</v>
      </c>
      <c r="AA330" s="82" t="str">
        <f>_xll.BLUEMATRIX2("/servlet/excelData",M330,$B$1,$B330&amp;":"&amp;M$115&amp;":"&amp;$R$114)</f>
        <v>#</v>
      </c>
      <c r="AB330" s="82" t="str">
        <f>_xll.BLUEMATRIX2("/servlet/excelData",N330,$B$1,$B330&amp;":"&amp;N$115&amp;":"&amp;$R$114)</f>
        <v>#</v>
      </c>
      <c r="AC330" s="82" t="str">
        <f>_xll.BLUEMATRIX2("/servlet/excelData",O330,$B$1,$B330&amp;":"&amp;O$115&amp;":"&amp;$R$114)</f>
        <v>#</v>
      </c>
      <c r="AD330" s="82" t="str">
        <f>_xll.BLUEMATRIX2("/servlet/excelData",P330,$B$1,$B330&amp;":"&amp;P$115&amp;":"&amp;$R$114)</f>
        <v>#</v>
      </c>
      <c r="AE330" s="82" t="str">
        <f>_xll.BLUEMATRIX2("/servlet/excelData",Q330,$B$1,$B330&amp;":"&amp;Q$115&amp;":"&amp;$R$114)</f>
        <v>#</v>
      </c>
    </row>
    <row r="331" spans="1:31" ht="12.95" customHeight="1" x14ac:dyDescent="0.2">
      <c r="A331" s="26" t="s">
        <v>1066</v>
      </c>
      <c r="B331" s="29" t="s">
        <v>1067</v>
      </c>
      <c r="C331" s="165" t="s">
        <v>1068</v>
      </c>
      <c r="D331" s="181"/>
      <c r="E331" s="181" t="str">
        <f t="shared" ref="E331:Q331" si="67">IF(ISERROR(E246/E242),"nm",E246/E242)</f>
        <v>nm</v>
      </c>
      <c r="F331" s="181" t="str">
        <f t="shared" si="67"/>
        <v>nm</v>
      </c>
      <c r="G331" s="181">
        <f t="shared" si="67"/>
        <v>-60.500000000000021</v>
      </c>
      <c r="H331" s="181">
        <f t="shared" si="67"/>
        <v>-2.4166666666666665</v>
      </c>
      <c r="I331" s="181">
        <f t="shared" si="67"/>
        <v>3.3098591549295775</v>
      </c>
      <c r="J331" s="181">
        <f t="shared" si="67"/>
        <v>0.99825160558382164</v>
      </c>
      <c r="K331" s="181">
        <f t="shared" si="67"/>
        <v>1.0608682885731806</v>
      </c>
      <c r="L331" s="181">
        <f t="shared" si="67"/>
        <v>1.0540219785664637</v>
      </c>
      <c r="M331" s="181">
        <f t="shared" si="67"/>
        <v>1.0509505171695646</v>
      </c>
      <c r="N331" s="181">
        <f t="shared" si="67"/>
        <v>1.0490966419467014</v>
      </c>
      <c r="O331" s="181">
        <f t="shared" si="67"/>
        <v>1.0490768533821899</v>
      </c>
      <c r="P331" s="181">
        <f t="shared" si="67"/>
        <v>1.0490574572354161</v>
      </c>
      <c r="Q331" s="181">
        <f t="shared" si="67"/>
        <v>1.0490384454295067</v>
      </c>
      <c r="R331" s="175"/>
      <c r="S331" s="82" t="str">
        <f>_xll.BLUEMATRIX2("/servlet/excelData",E331,$B$1,$B331&amp;":"&amp;E$115&amp;":"&amp;$R$114)</f>
        <v>#</v>
      </c>
      <c r="T331" s="82" t="str">
        <f>_xll.BLUEMATRIX2("/servlet/excelData",F331,$B$1,$B331&amp;":"&amp;F$115&amp;":"&amp;$R$114)</f>
        <v>#</v>
      </c>
      <c r="U331" s="82" t="str">
        <f>_xll.BLUEMATRIX2("/servlet/excelData",G331,$B$1,$B331&amp;":"&amp;G$115&amp;":"&amp;$R$114)</f>
        <v>#</v>
      </c>
      <c r="V331" s="82" t="str">
        <f>_xll.BLUEMATRIX2("/servlet/excelData",H331,$B$1,$B331&amp;":"&amp;H$115&amp;":"&amp;$R$114)</f>
        <v>#</v>
      </c>
      <c r="W331" s="82" t="str">
        <f>_xll.BLUEMATRIX2("/servlet/excelData",I331,$B$1,$B331&amp;":"&amp;I$115&amp;":"&amp;$R$114)</f>
        <v>#</v>
      </c>
      <c r="X331" s="82" t="str">
        <f>_xll.BLUEMATRIX2("/servlet/excelData",J331,$B$1,$B331&amp;":"&amp;J$115&amp;":"&amp;$R$114)</f>
        <v>#</v>
      </c>
      <c r="Y331" s="82" t="str">
        <f>_xll.BLUEMATRIX2("/servlet/excelData",K331,$B$1,$B331&amp;":"&amp;K$115&amp;":"&amp;$R$114)</f>
        <v>#</v>
      </c>
      <c r="Z331" s="82" t="str">
        <f>_xll.BLUEMATRIX2("/servlet/excelData",L331,$B$1,$B331&amp;":"&amp;L$115&amp;":"&amp;$R$114)</f>
        <v>#</v>
      </c>
      <c r="AA331" s="82" t="str">
        <f>_xll.BLUEMATRIX2("/servlet/excelData",M331,$B$1,$B331&amp;":"&amp;M$115&amp;":"&amp;$R$114)</f>
        <v>#</v>
      </c>
      <c r="AB331" s="82" t="str">
        <f>_xll.BLUEMATRIX2("/servlet/excelData",N331,$B$1,$B331&amp;":"&amp;N$115&amp;":"&amp;$R$114)</f>
        <v>#</v>
      </c>
      <c r="AC331" s="82" t="str">
        <f>_xll.BLUEMATRIX2("/servlet/excelData",O331,$B$1,$B331&amp;":"&amp;O$115&amp;":"&amp;$R$114)</f>
        <v>#</v>
      </c>
      <c r="AD331" s="82" t="str">
        <f>_xll.BLUEMATRIX2("/servlet/excelData",P331,$B$1,$B331&amp;":"&amp;P$115&amp;":"&amp;$R$114)</f>
        <v>#</v>
      </c>
      <c r="AE331" s="82" t="str">
        <f>_xll.BLUEMATRIX2("/servlet/excelData",Q331,$B$1,$B331&amp;":"&amp;Q$115&amp;":"&amp;$R$114)</f>
        <v>#</v>
      </c>
    </row>
    <row r="332" spans="1:31" ht="12.95" customHeight="1" x14ac:dyDescent="0.2">
      <c r="A332" s="26" t="s">
        <v>1069</v>
      </c>
      <c r="B332" s="29" t="s">
        <v>1070</v>
      </c>
      <c r="C332" s="165" t="s">
        <v>1071</v>
      </c>
      <c r="D332" s="181"/>
      <c r="E332" s="181" t="str">
        <f t="shared" ref="E332:Q332" si="68">IF(ISERROR(-(E256+E257+E258)/E142),"nm",-(E256+E257+E258)/E142)</f>
        <v>nm</v>
      </c>
      <c r="F332" s="181" t="str">
        <f t="shared" si="68"/>
        <v>nm</v>
      </c>
      <c r="G332" s="181" t="str">
        <f t="shared" si="68"/>
        <v>nm</v>
      </c>
      <c r="H332" s="181">
        <f t="shared" si="68"/>
        <v>4.5319465081723631E-2</v>
      </c>
      <c r="I332" s="181">
        <f t="shared" si="68"/>
        <v>6.1898211829436035E-2</v>
      </c>
      <c r="J332" s="181">
        <f t="shared" si="68"/>
        <v>6.0130718954248347E-2</v>
      </c>
      <c r="K332" s="181">
        <f t="shared" si="68"/>
        <v>6.0130718954248367E-2</v>
      </c>
      <c r="L332" s="181">
        <f t="shared" si="68"/>
        <v>6.0130718954248367E-2</v>
      </c>
      <c r="M332" s="181">
        <f t="shared" si="68"/>
        <v>5.5E-2</v>
      </c>
      <c r="N332" s="181">
        <f t="shared" si="68"/>
        <v>5.5E-2</v>
      </c>
      <c r="O332" s="181">
        <f t="shared" si="68"/>
        <v>5.5E-2</v>
      </c>
      <c r="P332" s="181">
        <f t="shared" si="68"/>
        <v>5.5E-2</v>
      </c>
      <c r="Q332" s="181">
        <f t="shared" si="68"/>
        <v>5.5E-2</v>
      </c>
      <c r="R332" s="175"/>
      <c r="S332" s="82" t="str">
        <f>_xll.BLUEMATRIX2("/servlet/excelData",E332,$B$1,$B332&amp;":"&amp;E$115&amp;":"&amp;$R$114)</f>
        <v>#</v>
      </c>
      <c r="T332" s="82" t="str">
        <f>_xll.BLUEMATRIX2("/servlet/excelData",F332,$B$1,$B332&amp;":"&amp;F$115&amp;":"&amp;$R$114)</f>
        <v>#</v>
      </c>
      <c r="U332" s="82" t="str">
        <f>_xll.BLUEMATRIX2("/servlet/excelData",G332,$B$1,$B332&amp;":"&amp;G$115&amp;":"&amp;$R$114)</f>
        <v>#</v>
      </c>
      <c r="V332" s="82" t="str">
        <f>_xll.BLUEMATRIX2("/servlet/excelData",H332,$B$1,$B332&amp;":"&amp;H$115&amp;":"&amp;$R$114)</f>
        <v>#</v>
      </c>
      <c r="W332" s="82" t="str">
        <f>_xll.BLUEMATRIX2("/servlet/excelData",I332,$B$1,$B332&amp;":"&amp;I$115&amp;":"&amp;$R$114)</f>
        <v>#</v>
      </c>
      <c r="X332" s="82" t="str">
        <f>_xll.BLUEMATRIX2("/servlet/excelData",J332,$B$1,$B332&amp;":"&amp;J$115&amp;":"&amp;$R$114)</f>
        <v>#</v>
      </c>
      <c r="Y332" s="82" t="str">
        <f>_xll.BLUEMATRIX2("/servlet/excelData",K332,$B$1,$B332&amp;":"&amp;K$115&amp;":"&amp;$R$114)</f>
        <v>#</v>
      </c>
      <c r="Z332" s="82" t="str">
        <f>_xll.BLUEMATRIX2("/servlet/excelData",L332,$B$1,$B332&amp;":"&amp;L$115&amp;":"&amp;$R$114)</f>
        <v>#</v>
      </c>
      <c r="AA332" s="82" t="str">
        <f>_xll.BLUEMATRIX2("/servlet/excelData",M332,$B$1,$B332&amp;":"&amp;M$115&amp;":"&amp;$R$114)</f>
        <v>#</v>
      </c>
      <c r="AB332" s="82" t="str">
        <f>_xll.BLUEMATRIX2("/servlet/excelData",N332,$B$1,$B332&amp;":"&amp;N$115&amp;":"&amp;$R$114)</f>
        <v>#</v>
      </c>
      <c r="AC332" s="82" t="str">
        <f>_xll.BLUEMATRIX2("/servlet/excelData",O332,$B$1,$B332&amp;":"&amp;O$115&amp;":"&amp;$R$114)</f>
        <v>#</v>
      </c>
      <c r="AD332" s="82" t="str">
        <f>_xll.BLUEMATRIX2("/servlet/excelData",P332,$B$1,$B332&amp;":"&amp;P$115&amp;":"&amp;$R$114)</f>
        <v>#</v>
      </c>
      <c r="AE332" s="82" t="str">
        <f>_xll.BLUEMATRIX2("/servlet/excelData",Q332,$B$1,$B332&amp;":"&amp;Q$115&amp;":"&amp;$R$114)</f>
        <v>#</v>
      </c>
    </row>
    <row r="333" spans="1:31" ht="12.95" customHeight="1" x14ac:dyDescent="0.2">
      <c r="A333" s="26" t="s">
        <v>1072</v>
      </c>
      <c r="B333" s="29" t="s">
        <v>1073</v>
      </c>
      <c r="C333" s="165" t="s">
        <v>1074</v>
      </c>
      <c r="D333" s="173"/>
      <c r="E333" s="188" t="str">
        <f t="shared" ref="E333:Q333" si="69">IF(ISERROR((E256+E257+E258)/E154),"nm",(E256+E257+E258)/E154)</f>
        <v>nm</v>
      </c>
      <c r="F333" s="188" t="str">
        <f t="shared" si="69"/>
        <v>nm</v>
      </c>
      <c r="G333" s="188" t="str">
        <f t="shared" si="69"/>
        <v>nm</v>
      </c>
      <c r="H333" s="188">
        <f t="shared" si="69"/>
        <v>1.4878048780487807</v>
      </c>
      <c r="I333" s="188">
        <f t="shared" si="69"/>
        <v>0.69767441860465118</v>
      </c>
      <c r="J333" s="188">
        <f t="shared" si="69"/>
        <v>0.98544114491147461</v>
      </c>
      <c r="K333" s="188">
        <f t="shared" si="69"/>
        <v>1.0350185211175906</v>
      </c>
      <c r="L333" s="188">
        <f t="shared" si="69"/>
        <v>1.0759745261741163</v>
      </c>
      <c r="M333" s="188">
        <f t="shared" si="69"/>
        <v>1.0198248025068717</v>
      </c>
      <c r="N333" s="188">
        <f t="shared" si="69"/>
        <v>1.0635122428107362</v>
      </c>
      <c r="O333" s="188">
        <f t="shared" si="69"/>
        <v>1.0991364655207627</v>
      </c>
      <c r="P333" s="188">
        <f t="shared" si="69"/>
        <v>1.1277166918132819</v>
      </c>
      <c r="Q333" s="188">
        <f t="shared" si="69"/>
        <v>1.1503478076092259</v>
      </c>
      <c r="R333" s="175"/>
      <c r="S333" s="82" t="str">
        <f>_xll.BLUEMATRIX2("/servlet/excelData",E333,$B$1,$B333&amp;":"&amp;E$115&amp;":"&amp;$R$114)</f>
        <v>#</v>
      </c>
      <c r="T333" s="82" t="str">
        <f>_xll.BLUEMATRIX2("/servlet/excelData",F333,$B$1,$B333&amp;":"&amp;F$115&amp;":"&amp;$R$114)</f>
        <v>#</v>
      </c>
      <c r="U333" s="82" t="str">
        <f>_xll.BLUEMATRIX2("/servlet/excelData",G333,$B$1,$B333&amp;":"&amp;G$115&amp;":"&amp;$R$114)</f>
        <v>#</v>
      </c>
      <c r="V333" s="82" t="str">
        <f>_xll.BLUEMATRIX2("/servlet/excelData",H333,$B$1,$B333&amp;":"&amp;H$115&amp;":"&amp;$R$114)</f>
        <v>#</v>
      </c>
      <c r="W333" s="82" t="str">
        <f>_xll.BLUEMATRIX2("/servlet/excelData",I333,$B$1,$B333&amp;":"&amp;I$115&amp;":"&amp;$R$114)</f>
        <v>#</v>
      </c>
      <c r="X333" s="82" t="str">
        <f>_xll.BLUEMATRIX2("/servlet/excelData",J333,$B$1,$B333&amp;":"&amp;J$115&amp;":"&amp;$R$114)</f>
        <v>#</v>
      </c>
      <c r="Y333" s="82" t="str">
        <f>_xll.BLUEMATRIX2("/servlet/excelData",K333,$B$1,$B333&amp;":"&amp;K$115&amp;":"&amp;$R$114)</f>
        <v>#</v>
      </c>
      <c r="Z333" s="82" t="str">
        <f>_xll.BLUEMATRIX2("/servlet/excelData",L333,$B$1,$B333&amp;":"&amp;L$115&amp;":"&amp;$R$114)</f>
        <v>#</v>
      </c>
      <c r="AA333" s="82" t="str">
        <f>_xll.BLUEMATRIX2("/servlet/excelData",M333,$B$1,$B333&amp;":"&amp;M$115&amp;":"&amp;$R$114)</f>
        <v>#</v>
      </c>
      <c r="AB333" s="82" t="str">
        <f>_xll.BLUEMATRIX2("/servlet/excelData",N333,$B$1,$B333&amp;":"&amp;N$115&amp;":"&amp;$R$114)</f>
        <v>#</v>
      </c>
      <c r="AC333" s="82" t="str">
        <f>_xll.BLUEMATRIX2("/servlet/excelData",O333,$B$1,$B333&amp;":"&amp;O$115&amp;":"&amp;$R$114)</f>
        <v>#</v>
      </c>
      <c r="AD333" s="82" t="str">
        <f>_xll.BLUEMATRIX2("/servlet/excelData",P333,$B$1,$B333&amp;":"&amp;P$115&amp;":"&amp;$R$114)</f>
        <v>#</v>
      </c>
      <c r="AE333" s="82" t="str">
        <f>_xll.BLUEMATRIX2("/servlet/excelData",Q333,$B$1,$B333&amp;":"&amp;Q$115&amp;":"&amp;$R$114)</f>
        <v>#</v>
      </c>
    </row>
    <row r="334" spans="1:31" ht="12.95" customHeight="1" x14ac:dyDescent="0.2">
      <c r="A334" s="26" t="s">
        <v>1075</v>
      </c>
      <c r="B334" s="29" t="s">
        <v>1076</v>
      </c>
      <c r="C334" s="165" t="s">
        <v>1077</v>
      </c>
      <c r="D334" s="181"/>
      <c r="E334" s="181" t="str">
        <f t="shared" ref="E334:Q334" si="70">IF(ISERROR((E196-E217)/E142),"nm",(E196-E217)/E142)</f>
        <v>nm</v>
      </c>
      <c r="F334" s="181" t="str">
        <f t="shared" si="70"/>
        <v>nm</v>
      </c>
      <c r="G334" s="181" t="str">
        <f t="shared" si="70"/>
        <v>nm</v>
      </c>
      <c r="H334" s="181">
        <f t="shared" si="70"/>
        <v>-0.14190193164933135</v>
      </c>
      <c r="I334" s="181">
        <f t="shared" si="70"/>
        <v>-0.16712517193947729</v>
      </c>
      <c r="J334" s="181">
        <f t="shared" si="70"/>
        <v>-0.15762894039528383</v>
      </c>
      <c r="K334" s="181">
        <f t="shared" si="70"/>
        <v>-0.15762894039528386</v>
      </c>
      <c r="L334" s="181">
        <f t="shared" si="70"/>
        <v>-0.15762894039528383</v>
      </c>
      <c r="M334" s="181">
        <f t="shared" si="70"/>
        <v>-0.15762894039528383</v>
      </c>
      <c r="N334" s="181">
        <f t="shared" si="70"/>
        <v>-0.15762894039528386</v>
      </c>
      <c r="O334" s="181">
        <f t="shared" si="70"/>
        <v>-0.15762894039528383</v>
      </c>
      <c r="P334" s="181">
        <f t="shared" si="70"/>
        <v>-0.15762894039528388</v>
      </c>
      <c r="Q334" s="181">
        <f t="shared" si="70"/>
        <v>-0.15762894039528388</v>
      </c>
      <c r="R334" s="175"/>
      <c r="S334" s="82" t="str">
        <f>_xll.BLUEMATRIX2("/servlet/excelData",E334,$B$1,$B334&amp;":"&amp;E$115&amp;":"&amp;$R$114)</f>
        <v>#</v>
      </c>
      <c r="T334" s="82" t="str">
        <f>_xll.BLUEMATRIX2("/servlet/excelData",F334,$B$1,$B334&amp;":"&amp;F$115&amp;":"&amp;$R$114)</f>
        <v>#</v>
      </c>
      <c r="U334" s="82" t="str">
        <f>_xll.BLUEMATRIX2("/servlet/excelData",G334,$B$1,$B334&amp;":"&amp;G$115&amp;":"&amp;$R$114)</f>
        <v>#</v>
      </c>
      <c r="V334" s="82" t="str">
        <f>_xll.BLUEMATRIX2("/servlet/excelData",H334,$B$1,$B334&amp;":"&amp;H$115&amp;":"&amp;$R$114)</f>
        <v>#</v>
      </c>
      <c r="W334" s="82" t="str">
        <f>_xll.BLUEMATRIX2("/servlet/excelData",I334,$B$1,$B334&amp;":"&amp;I$115&amp;":"&amp;$R$114)</f>
        <v>#</v>
      </c>
      <c r="X334" s="82" t="str">
        <f>_xll.BLUEMATRIX2("/servlet/excelData",J334,$B$1,$B334&amp;":"&amp;J$115&amp;":"&amp;$R$114)</f>
        <v>#</v>
      </c>
      <c r="Y334" s="82" t="str">
        <f>_xll.BLUEMATRIX2("/servlet/excelData",K334,$B$1,$B334&amp;":"&amp;K$115&amp;":"&amp;$R$114)</f>
        <v>#</v>
      </c>
      <c r="Z334" s="82" t="str">
        <f>_xll.BLUEMATRIX2("/servlet/excelData",L334,$B$1,$B334&amp;":"&amp;L$115&amp;":"&amp;$R$114)</f>
        <v>#</v>
      </c>
      <c r="AA334" s="82" t="str">
        <f>_xll.BLUEMATRIX2("/servlet/excelData",M334,$B$1,$B334&amp;":"&amp;M$115&amp;":"&amp;$R$114)</f>
        <v>#</v>
      </c>
      <c r="AB334" s="82" t="str">
        <f>_xll.BLUEMATRIX2("/servlet/excelData",N334,$B$1,$B334&amp;":"&amp;N$115&amp;":"&amp;$R$114)</f>
        <v>#</v>
      </c>
      <c r="AC334" s="82" t="str">
        <f>_xll.BLUEMATRIX2("/servlet/excelData",O334,$B$1,$B334&amp;":"&amp;O$115&amp;":"&amp;$R$114)</f>
        <v>#</v>
      </c>
      <c r="AD334" s="82" t="str">
        <f>_xll.BLUEMATRIX2("/servlet/excelData",P334,$B$1,$B334&amp;":"&amp;P$115&amp;":"&amp;$R$114)</f>
        <v>#</v>
      </c>
      <c r="AE334" s="82" t="str">
        <f>_xll.BLUEMATRIX2("/servlet/excelData",Q334,$B$1,$B334&amp;":"&amp;Q$115&amp;":"&amp;$R$114)</f>
        <v>#</v>
      </c>
    </row>
    <row r="335" spans="1:31" ht="12.95" customHeight="1" x14ac:dyDescent="0.2">
      <c r="A335" s="26" t="s">
        <v>1078</v>
      </c>
      <c r="B335" s="29" t="s">
        <v>1079</v>
      </c>
      <c r="C335" s="165" t="s">
        <v>1080</v>
      </c>
      <c r="D335" s="181"/>
      <c r="E335" s="181" t="str">
        <f t="shared" ref="E335:Q335" si="71">IF(ISERROR(-E154/E190),"nm",-E154/E190)</f>
        <v>nm</v>
      </c>
      <c r="F335" s="181" t="str">
        <f t="shared" si="71"/>
        <v>nm</v>
      </c>
      <c r="G335" s="181">
        <f t="shared" si="71"/>
        <v>0</v>
      </c>
      <c r="H335" s="181">
        <f t="shared" si="71"/>
        <v>0.6507936507936507</v>
      </c>
      <c r="I335" s="181">
        <f t="shared" si="71"/>
        <v>2.3454545454545457</v>
      </c>
      <c r="J335" s="181">
        <f t="shared" si="71"/>
        <v>1.8490428959898104</v>
      </c>
      <c r="K335" s="181">
        <f t="shared" si="71"/>
        <v>1.8484974488857411</v>
      </c>
      <c r="L335" s="181">
        <f t="shared" si="71"/>
        <v>1.8670428544160946</v>
      </c>
      <c r="M335" s="181">
        <f t="shared" si="71"/>
        <v>1.8918482518923554</v>
      </c>
      <c r="N335" s="181">
        <f t="shared" si="71"/>
        <v>1.9048407501149596</v>
      </c>
      <c r="O335" s="181">
        <f t="shared" si="71"/>
        <v>1.9352579029045665</v>
      </c>
      <c r="P335" s="181">
        <f t="shared" si="71"/>
        <v>1.9805223901065838</v>
      </c>
      <c r="Q335" s="181">
        <f t="shared" si="71"/>
        <v>2.0386369671957802</v>
      </c>
      <c r="R335" s="175"/>
      <c r="S335" s="82" t="str">
        <f>_xll.BLUEMATRIX2("/servlet/excelData",E335,$B$1,$B335&amp;":"&amp;E$115&amp;":"&amp;$R$114)</f>
        <v>#</v>
      </c>
      <c r="T335" s="82" t="str">
        <f>_xll.BLUEMATRIX2("/servlet/excelData",F335,$B$1,$B335&amp;":"&amp;F$115&amp;":"&amp;$R$114)</f>
        <v>#</v>
      </c>
      <c r="U335" s="82" t="str">
        <f>_xll.BLUEMATRIX2("/servlet/excelData",G335,$B$1,$B335&amp;":"&amp;G$115&amp;":"&amp;$R$114)</f>
        <v>#</v>
      </c>
      <c r="V335" s="82" t="str">
        <f>_xll.BLUEMATRIX2("/servlet/excelData",H335,$B$1,$B335&amp;":"&amp;H$115&amp;":"&amp;$R$114)</f>
        <v>#</v>
      </c>
      <c r="W335" s="82" t="str">
        <f>_xll.BLUEMATRIX2("/servlet/excelData",I335,$B$1,$B335&amp;":"&amp;I$115&amp;":"&amp;$R$114)</f>
        <v>#</v>
      </c>
      <c r="X335" s="82" t="str">
        <f>_xll.BLUEMATRIX2("/servlet/excelData",J335,$B$1,$B335&amp;":"&amp;J$115&amp;":"&amp;$R$114)</f>
        <v>#</v>
      </c>
      <c r="Y335" s="82" t="str">
        <f>_xll.BLUEMATRIX2("/servlet/excelData",K335,$B$1,$B335&amp;":"&amp;K$115&amp;":"&amp;$R$114)</f>
        <v>#</v>
      </c>
      <c r="Z335" s="82" t="str">
        <f>_xll.BLUEMATRIX2("/servlet/excelData",L335,$B$1,$B335&amp;":"&amp;L$115&amp;":"&amp;$R$114)</f>
        <v>#</v>
      </c>
      <c r="AA335" s="82" t="str">
        <f>_xll.BLUEMATRIX2("/servlet/excelData",M335,$B$1,$B335&amp;":"&amp;M$115&amp;":"&amp;$R$114)</f>
        <v>#</v>
      </c>
      <c r="AB335" s="82" t="str">
        <f>_xll.BLUEMATRIX2("/servlet/excelData",N335,$B$1,$B335&amp;":"&amp;N$115&amp;":"&amp;$R$114)</f>
        <v>#</v>
      </c>
      <c r="AC335" s="82" t="str">
        <f>_xll.BLUEMATRIX2("/servlet/excelData",O335,$B$1,$B335&amp;":"&amp;O$115&amp;":"&amp;$R$114)</f>
        <v>#</v>
      </c>
      <c r="AD335" s="82" t="str">
        <f>_xll.BLUEMATRIX2("/servlet/excelData",P335,$B$1,$B335&amp;":"&amp;P$115&amp;":"&amp;$R$114)</f>
        <v>#</v>
      </c>
      <c r="AE335" s="82" t="str">
        <f>_xll.BLUEMATRIX2("/servlet/excelData",Q335,$B$1,$B335&amp;":"&amp;Q$115&amp;":"&amp;$R$114)</f>
        <v>#</v>
      </c>
    </row>
    <row r="336" spans="1:31" ht="12.95" customHeight="1" x14ac:dyDescent="0.2">
      <c r="A336" s="26"/>
      <c r="B336" s="29" t="s">
        <v>1081</v>
      </c>
      <c r="C336" s="165" t="s">
        <v>1082</v>
      </c>
      <c r="D336" s="189"/>
      <c r="E336" s="189" t="e">
        <f t="shared" ref="E336:Q336" si="72">((E18*E285)+E232)/E149</f>
        <v>#DIV/0!</v>
      </c>
      <c r="F336" s="189" t="e">
        <f t="shared" si="72"/>
        <v>#DIV/0!</v>
      </c>
      <c r="G336" s="189" t="e">
        <f t="shared" si="72"/>
        <v>#DIV/0!</v>
      </c>
      <c r="H336" s="189">
        <f t="shared" si="72"/>
        <v>28.512469905555559</v>
      </c>
      <c r="I336" s="189">
        <f t="shared" si="72"/>
        <v>-28.872985840845072</v>
      </c>
      <c r="J336" s="189">
        <f t="shared" si="72"/>
        <v>13.141545462135625</v>
      </c>
      <c r="K336" s="189">
        <f t="shared" si="72"/>
        <v>10.361696281274899</v>
      </c>
      <c r="L336" s="189">
        <f t="shared" si="72"/>
        <v>8.9648327253291669</v>
      </c>
      <c r="M336" s="189">
        <f t="shared" si="72"/>
        <v>8.1750424517890412</v>
      </c>
      <c r="N336" s="189">
        <f t="shared" si="72"/>
        <v>7.5976206674654758</v>
      </c>
      <c r="O336" s="189">
        <f t="shared" si="72"/>
        <v>7.3295330460308472</v>
      </c>
      <c r="P336" s="189">
        <f t="shared" si="72"/>
        <v>7.0751958934101689</v>
      </c>
      <c r="Q336" s="189">
        <f t="shared" si="72"/>
        <v>6.8338537178251748</v>
      </c>
      <c r="R336" s="1"/>
      <c r="S336" s="82" t="e">
        <f>_xll.BLUEMATRIX2("/servlet/excelData",E336,$B$1,$B336&amp;":"&amp;E$115&amp;":"&amp;$R$114)</f>
        <v>#VALUE!</v>
      </c>
      <c r="T336" s="82" t="e">
        <f>_xll.BLUEMATRIX2("/servlet/excelData",F336,$B$1,$B336&amp;":"&amp;F$115&amp;":"&amp;$R$114)</f>
        <v>#VALUE!</v>
      </c>
      <c r="U336" s="82" t="e">
        <f>_xll.BLUEMATRIX2("/servlet/excelData",G336,$B$1,$B336&amp;":"&amp;G$115&amp;":"&amp;$R$114)</f>
        <v>#VALUE!</v>
      </c>
      <c r="V336" s="82" t="str">
        <f>_xll.BLUEMATRIX2("/servlet/excelData",H336,$B$1,$B336&amp;":"&amp;H$115&amp;":"&amp;$R$114)</f>
        <v>#</v>
      </c>
      <c r="W336" s="82" t="str">
        <f>_xll.BLUEMATRIX2("/servlet/excelData",I336,$B$1,$B336&amp;":"&amp;I$115&amp;":"&amp;$R$114)</f>
        <v>#</v>
      </c>
      <c r="X336" s="82" t="str">
        <f>_xll.BLUEMATRIX2("/servlet/excelData",J336,$B$1,$B336&amp;":"&amp;J$115&amp;":"&amp;$R$114)</f>
        <v>#</v>
      </c>
      <c r="Y336" s="82" t="str">
        <f>_xll.BLUEMATRIX2("/servlet/excelData",K336,$B$1,$B336&amp;":"&amp;K$115&amp;":"&amp;$R$114)</f>
        <v>#</v>
      </c>
      <c r="Z336" s="82" t="str">
        <f>_xll.BLUEMATRIX2("/servlet/excelData",L336,$B$1,$B336&amp;":"&amp;L$115&amp;":"&amp;$R$114)</f>
        <v>#</v>
      </c>
      <c r="AA336" s="82" t="str">
        <f>_xll.BLUEMATRIX2("/servlet/excelData",M336,$B$1,$B336&amp;":"&amp;M$115&amp;":"&amp;$R$114)</f>
        <v>#</v>
      </c>
      <c r="AB336" s="82" t="str">
        <f>_xll.BLUEMATRIX2("/servlet/excelData",N336,$B$1,$B336&amp;":"&amp;N$115&amp;":"&amp;$R$114)</f>
        <v>#</v>
      </c>
      <c r="AC336" s="82" t="str">
        <f>_xll.BLUEMATRIX2("/servlet/excelData",O336,$B$1,$B336&amp;":"&amp;O$115&amp;":"&amp;$R$114)</f>
        <v>#</v>
      </c>
      <c r="AD336" s="82" t="str">
        <f>_xll.BLUEMATRIX2("/servlet/excelData",P336,$B$1,$B336&amp;":"&amp;P$115&amp;":"&amp;$R$114)</f>
        <v>#</v>
      </c>
      <c r="AE336" s="82" t="str">
        <f>_xll.BLUEMATRIX2("/servlet/excelData",Q336,$B$1,$B336&amp;":"&amp;Q$115&amp;":"&amp;$R$114)</f>
        <v>#</v>
      </c>
    </row>
    <row r="337" spans="1:31" ht="12.95" customHeight="1" x14ac:dyDescent="0.2">
      <c r="A337" s="26"/>
      <c r="B337" s="29"/>
      <c r="C337" s="169"/>
      <c r="D337" s="170"/>
      <c r="E337" s="170"/>
      <c r="F337" s="170"/>
      <c r="G337" s="170"/>
      <c r="H337" s="170"/>
      <c r="I337" s="170"/>
      <c r="J337" s="170"/>
      <c r="K337" s="170"/>
      <c r="L337" s="170"/>
      <c r="M337" s="170"/>
      <c r="N337" s="170"/>
      <c r="O337" s="170"/>
      <c r="P337" s="170"/>
      <c r="Q337" s="170"/>
      <c r="R337" s="1"/>
      <c r="S337" s="33" t="str">
        <f>_xll.BLUEMATRIX2("/servlet/excelData",E337,$B$1,$B337&amp;":"&amp;E$115&amp;":"&amp;$R$114)</f>
        <v>#</v>
      </c>
      <c r="T337" s="33" t="str">
        <f>_xll.BLUEMATRIX2("/servlet/excelData",F337,$B$1,$B337&amp;":"&amp;F$115&amp;":"&amp;$R$114)</f>
        <v>#</v>
      </c>
      <c r="U337" s="33" t="str">
        <f>_xll.BLUEMATRIX2("/servlet/excelData",G337,$B$1,$B337&amp;":"&amp;G$115&amp;":"&amp;$R$114)</f>
        <v>#</v>
      </c>
      <c r="V337" s="33" t="str">
        <f>_xll.BLUEMATRIX2("/servlet/excelData",H337,$B$1,$B337&amp;":"&amp;H$115&amp;":"&amp;$R$114)</f>
        <v>#</v>
      </c>
      <c r="W337" s="33" t="str">
        <f>_xll.BLUEMATRIX2("/servlet/excelData",I337,$B$1,$B337&amp;":"&amp;I$115&amp;":"&amp;$R$114)</f>
        <v>#</v>
      </c>
      <c r="X337" s="33" t="str">
        <f>_xll.BLUEMATRIX2("/servlet/excelData",J337,$B$1,$B337&amp;":"&amp;J$115&amp;":"&amp;$R$114)</f>
        <v>#</v>
      </c>
      <c r="Y337" s="33" t="str">
        <f>_xll.BLUEMATRIX2("/servlet/excelData",K337,$B$1,$B337&amp;":"&amp;K$115&amp;":"&amp;$R$114)</f>
        <v>#</v>
      </c>
      <c r="Z337" s="33" t="str">
        <f>_xll.BLUEMATRIX2("/servlet/excelData",L337,$B$1,$B337&amp;":"&amp;L$115&amp;":"&amp;$R$114)</f>
        <v>#</v>
      </c>
      <c r="AA337" s="33" t="str">
        <f>_xll.BLUEMATRIX2("/servlet/excelData",M337,$B$1,$B337&amp;":"&amp;M$115&amp;":"&amp;$R$114)</f>
        <v>#</v>
      </c>
      <c r="AB337" s="33" t="str">
        <f>_xll.BLUEMATRIX2("/servlet/excelData",N337,$B$1,$B337&amp;":"&amp;N$115&amp;":"&amp;$R$114)</f>
        <v>#</v>
      </c>
      <c r="AC337" s="33" t="str">
        <f>_xll.BLUEMATRIX2("/servlet/excelData",O337,$B$1,$B337&amp;":"&amp;O$115&amp;":"&amp;$R$114)</f>
        <v>#</v>
      </c>
      <c r="AD337" s="33" t="str">
        <f>_xll.BLUEMATRIX2("/servlet/excelData",P337,$B$1,$B337&amp;":"&amp;P$115&amp;":"&amp;$R$114)</f>
        <v>#</v>
      </c>
      <c r="AE337" s="33" t="str">
        <f>_xll.BLUEMATRIX2("/servlet/excelData",Q337,$B$1,$B337&amp;":"&amp;Q$115&amp;":"&amp;$R$114)</f>
        <v>#</v>
      </c>
    </row>
    <row r="338" spans="1:31" ht="15" customHeight="1" x14ac:dyDescent="0.2">
      <c r="A338" s="61"/>
      <c r="B338" s="29"/>
      <c r="C338" s="107" t="s">
        <v>1083</v>
      </c>
      <c r="D338" s="171"/>
      <c r="E338" s="171" t="str">
        <f t="shared" ref="E338:Q338" si="73">+E114</f>
        <v>FY2022A</v>
      </c>
      <c r="F338" s="171" t="str">
        <f t="shared" si="73"/>
        <v>FY2023A</v>
      </c>
      <c r="G338" s="171" t="str">
        <f t="shared" si="73"/>
        <v>FY2024A</v>
      </c>
      <c r="H338" s="171" t="str">
        <f t="shared" si="73"/>
        <v>FY2025F</v>
      </c>
      <c r="I338" s="171" t="str">
        <f t="shared" si="73"/>
        <v>FY2026F</v>
      </c>
      <c r="J338" s="171" t="str">
        <f t="shared" si="73"/>
        <v>FY2027F</v>
      </c>
      <c r="K338" s="171" t="str">
        <f t="shared" si="73"/>
        <v>FY2028F</v>
      </c>
      <c r="L338" s="171" t="str">
        <f t="shared" si="73"/>
        <v>FY2029F</v>
      </c>
      <c r="M338" s="171" t="str">
        <f t="shared" si="73"/>
        <v>FY2030F</v>
      </c>
      <c r="N338" s="171" t="str">
        <f t="shared" si="73"/>
        <v>FY2031F</v>
      </c>
      <c r="O338" s="171" t="str">
        <f t="shared" si="73"/>
        <v>FY2032F</v>
      </c>
      <c r="P338" s="171" t="str">
        <f t="shared" si="73"/>
        <v>FY2033F</v>
      </c>
      <c r="Q338" s="171" t="str">
        <f t="shared" si="73"/>
        <v>FY2034F</v>
      </c>
      <c r="R338" s="64"/>
      <c r="S338" s="33"/>
      <c r="T338" s="33"/>
      <c r="U338" s="33"/>
      <c r="V338" s="33"/>
      <c r="W338" s="33"/>
      <c r="X338" s="33"/>
      <c r="Y338" s="33"/>
      <c r="Z338" s="33"/>
      <c r="AA338" s="33"/>
      <c r="AB338" s="33"/>
      <c r="AC338" s="33"/>
      <c r="AD338" s="33"/>
      <c r="AE338" s="33"/>
    </row>
    <row r="339" spans="1:31" ht="12.95" customHeight="1" x14ac:dyDescent="0.2">
      <c r="A339" s="26" t="s">
        <v>1084</v>
      </c>
      <c r="B339" s="29" t="s">
        <v>1085</v>
      </c>
      <c r="C339" s="190" t="str">
        <f>D46&amp;" "&amp;$D$57</f>
        <v xml:space="preserve">Turnover </v>
      </c>
      <c r="D339" s="111"/>
      <c r="E339" s="483">
        <f>FY!E12</f>
        <v>0</v>
      </c>
      <c r="F339" s="483">
        <f>FY!F12</f>
        <v>0</v>
      </c>
      <c r="G339" s="483">
        <f>FY!G12</f>
        <v>591.9</v>
      </c>
      <c r="H339" s="483">
        <f>FY!H12</f>
        <v>1420.4</v>
      </c>
      <c r="I339" s="483">
        <f>FY!I12</f>
        <v>1594.7</v>
      </c>
      <c r="J339" s="483">
        <f>FY!J12</f>
        <v>1722.674</v>
      </c>
      <c r="K339" s="483">
        <f>FY!K12</f>
        <v>1808.8077000000003</v>
      </c>
      <c r="L339" s="483">
        <f>FY!L12</f>
        <v>1899.2480850000002</v>
      </c>
      <c r="M339" s="483">
        <f>FY!M12</f>
        <v>1994.2104892500006</v>
      </c>
      <c r="N339" s="483">
        <f>FY!N12</f>
        <v>2093.9210137125006</v>
      </c>
      <c r="O339" s="483">
        <f>FY!O12</f>
        <v>2198.6170643981259</v>
      </c>
      <c r="P339" s="483">
        <f>FY!P12</f>
        <v>2308.547917618032</v>
      </c>
      <c r="Q339" s="483">
        <f>FY!Q12</f>
        <v>2423.9753134989337</v>
      </c>
      <c r="R339" s="81" t="str">
        <f>_xll.BLUEMATRIX2("ExcelToolkitService",C339,$B$1,"[DivisionName:1]DIVISION")</f>
        <v>#</v>
      </c>
      <c r="S339" s="82" t="str">
        <f>_xll.BLUEMATRIX2("/servlet/excelData",E339,$B$1,$B339&amp;":"&amp;E$115&amp;":"&amp;$R$114)</f>
        <v>#</v>
      </c>
      <c r="T339" s="82" t="str">
        <f>_xll.BLUEMATRIX2("/servlet/excelData",F339,$B$1,$B339&amp;":"&amp;F$115&amp;":"&amp;$R$114)</f>
        <v>#</v>
      </c>
      <c r="U339" s="82" t="str">
        <f>_xll.BLUEMATRIX2("/servlet/excelData",G339,$B$1,$B339&amp;":"&amp;G$115&amp;":"&amp;$R$114)</f>
        <v>#</v>
      </c>
      <c r="V339" s="82" t="str">
        <f>_xll.BLUEMATRIX2("/servlet/excelData",H339,$B$1,$B339&amp;":"&amp;H$115&amp;":"&amp;$R$114)</f>
        <v>#</v>
      </c>
      <c r="W339" s="82" t="str">
        <f>_xll.BLUEMATRIX2("/servlet/excelData",I339,$B$1,$B339&amp;":"&amp;I$115&amp;":"&amp;$R$114)</f>
        <v>#</v>
      </c>
      <c r="X339" s="82" t="str">
        <f>_xll.BLUEMATRIX2("/servlet/excelData",J339,$B$1,$B339&amp;":"&amp;J$115&amp;":"&amp;$R$114)</f>
        <v>#</v>
      </c>
      <c r="Y339" s="82" t="str">
        <f>_xll.BLUEMATRIX2("/servlet/excelData",K339,$B$1,$B339&amp;":"&amp;K$115&amp;":"&amp;$R$114)</f>
        <v>#</v>
      </c>
      <c r="Z339" s="82" t="str">
        <f>_xll.BLUEMATRIX2("/servlet/excelData",L339,$B$1,$B339&amp;":"&amp;L$115&amp;":"&amp;$R$114)</f>
        <v>#</v>
      </c>
      <c r="AA339" s="82" t="str">
        <f>_xll.BLUEMATRIX2("/servlet/excelData",M339,$B$1,$B339&amp;":"&amp;M$115&amp;":"&amp;$R$114)</f>
        <v>#</v>
      </c>
      <c r="AB339" s="82" t="str">
        <f>_xll.BLUEMATRIX2("/servlet/excelData",N339,$B$1,$B339&amp;":"&amp;N$115&amp;":"&amp;$R$114)</f>
        <v>#</v>
      </c>
      <c r="AC339" s="82" t="str">
        <f>_xll.BLUEMATRIX2("/servlet/excelData",O339,$B$1,$B339&amp;":"&amp;O$115&amp;":"&amp;$R$114)</f>
        <v>#</v>
      </c>
      <c r="AD339" s="82" t="str">
        <f>_xll.BLUEMATRIX2("/servlet/excelData",P339,$B$1,$B339&amp;":"&amp;P$115&amp;":"&amp;$R$114)</f>
        <v>#</v>
      </c>
      <c r="AE339" s="82" t="str">
        <f>_xll.BLUEMATRIX2("/servlet/excelData",Q339,$B$1,$B339&amp;":"&amp;Q$115&amp;":"&amp;$R$114)</f>
        <v>#</v>
      </c>
    </row>
    <row r="340" spans="1:31" ht="12.95" customHeight="1" x14ac:dyDescent="0.2">
      <c r="A340" s="26" t="s">
        <v>1086</v>
      </c>
      <c r="B340" s="29" t="s">
        <v>1087</v>
      </c>
      <c r="C340" s="190" t="str">
        <f>D47&amp;" "&amp;$D$57</f>
        <v xml:space="preserve">Gross Win </v>
      </c>
      <c r="D340" s="111"/>
      <c r="E340" s="483">
        <f>FY!E14</f>
        <v>0</v>
      </c>
      <c r="F340" s="483">
        <f>FY!F14</f>
        <v>0</v>
      </c>
      <c r="G340" s="483">
        <f>FY!G14</f>
        <v>79.5</v>
      </c>
      <c r="H340" s="483">
        <f>FY!H14</f>
        <v>196.2</v>
      </c>
      <c r="I340" s="483">
        <f>FY!I14</f>
        <v>215.7</v>
      </c>
      <c r="J340" s="483">
        <f>FY!J14</f>
        <v>242.95042000000001</v>
      </c>
      <c r="K340" s="483">
        <f>FY!K14</f>
        <v>255.09794100000005</v>
      </c>
      <c r="L340" s="483">
        <f>FY!L14</f>
        <v>267.85283805000006</v>
      </c>
      <c r="M340" s="483">
        <f>FY!M14</f>
        <v>281.24547995250009</v>
      </c>
      <c r="N340" s="483">
        <f>FY!N14</f>
        <v>295.30775395012506</v>
      </c>
      <c r="O340" s="483">
        <f>FY!O14</f>
        <v>310.07314164763136</v>
      </c>
      <c r="P340" s="483">
        <f>FY!P14</f>
        <v>325.57679873001291</v>
      </c>
      <c r="Q340" s="483">
        <f>FY!Q14</f>
        <v>341.85563866651358</v>
      </c>
      <c r="R340" s="81" t="str">
        <f>_xll.BLUEMATRIX2("ExcelToolkitService",C340,$B$1,"[DivisionName:2]DIVISION")</f>
        <v>#</v>
      </c>
      <c r="S340" s="82" t="str">
        <f>_xll.BLUEMATRIX2("/servlet/excelData",E340,$B$1,$B340&amp;":"&amp;E$115&amp;":"&amp;$R$114)</f>
        <v>#</v>
      </c>
      <c r="T340" s="82" t="str">
        <f>_xll.BLUEMATRIX2("/servlet/excelData",F340,$B$1,$B340&amp;":"&amp;F$115&amp;":"&amp;$R$114)</f>
        <v>#</v>
      </c>
      <c r="U340" s="82" t="str">
        <f>_xll.BLUEMATRIX2("/servlet/excelData",G340,$B$1,$B340&amp;":"&amp;G$115&amp;":"&amp;$R$114)</f>
        <v>#</v>
      </c>
      <c r="V340" s="82" t="str">
        <f>_xll.BLUEMATRIX2("/servlet/excelData",H340,$B$1,$B340&amp;":"&amp;H$115&amp;":"&amp;$R$114)</f>
        <v>#</v>
      </c>
      <c r="W340" s="82" t="str">
        <f>_xll.BLUEMATRIX2("/servlet/excelData",I340,$B$1,$B340&amp;":"&amp;I$115&amp;":"&amp;$R$114)</f>
        <v>#</v>
      </c>
      <c r="X340" s="82" t="str">
        <f>_xll.BLUEMATRIX2("/servlet/excelData",J340,$B$1,$B340&amp;":"&amp;J$115&amp;":"&amp;$R$114)</f>
        <v>#</v>
      </c>
      <c r="Y340" s="82" t="str">
        <f>_xll.BLUEMATRIX2("/servlet/excelData",K340,$B$1,$B340&amp;":"&amp;K$115&amp;":"&amp;$R$114)</f>
        <v>#</v>
      </c>
      <c r="Z340" s="82" t="str">
        <f>_xll.BLUEMATRIX2("/servlet/excelData",L340,$B$1,$B340&amp;":"&amp;L$115&amp;":"&amp;$R$114)</f>
        <v>#</v>
      </c>
      <c r="AA340" s="82" t="str">
        <f>_xll.BLUEMATRIX2("/servlet/excelData",M340,$B$1,$B340&amp;":"&amp;M$115&amp;":"&amp;$R$114)</f>
        <v>#</v>
      </c>
      <c r="AB340" s="82" t="str">
        <f>_xll.BLUEMATRIX2("/servlet/excelData",N340,$B$1,$B340&amp;":"&amp;N$115&amp;":"&amp;$R$114)</f>
        <v>#</v>
      </c>
      <c r="AC340" s="82" t="str">
        <f>_xll.BLUEMATRIX2("/servlet/excelData",O340,$B$1,$B340&amp;":"&amp;O$115&amp;":"&amp;$R$114)</f>
        <v>#</v>
      </c>
      <c r="AD340" s="82" t="str">
        <f>_xll.BLUEMATRIX2("/servlet/excelData",P340,$B$1,$B340&amp;":"&amp;P$115&amp;":"&amp;$R$114)</f>
        <v>#</v>
      </c>
      <c r="AE340" s="82" t="str">
        <f>_xll.BLUEMATRIX2("/servlet/excelData",Q340,$B$1,$B340&amp;":"&amp;Q$115&amp;":"&amp;$R$114)</f>
        <v>#</v>
      </c>
    </row>
    <row r="341" spans="1:31" ht="12.95" customHeight="1" x14ac:dyDescent="0.2">
      <c r="A341" s="26" t="s">
        <v>1088</v>
      </c>
      <c r="B341" s="29" t="s">
        <v>1089</v>
      </c>
      <c r="C341" s="190" t="str">
        <f>D48&amp;" "&amp;$D$57</f>
        <v xml:space="preserve">Net Win </v>
      </c>
      <c r="D341" s="111"/>
      <c r="E341" s="483">
        <f>FY!E20</f>
        <v>0</v>
      </c>
      <c r="F341" s="483">
        <f>FY!F20</f>
        <v>0</v>
      </c>
      <c r="G341" s="483">
        <f>FY!G20</f>
        <v>63</v>
      </c>
      <c r="H341" s="483">
        <f>FY!H20</f>
        <v>147.80000000000001</v>
      </c>
      <c r="I341" s="483">
        <f>FY!I20</f>
        <v>158.1</v>
      </c>
      <c r="J341" s="483">
        <f>FY!J20</f>
        <v>183.33131600000002</v>
      </c>
      <c r="K341" s="483">
        <f>FY!K20</f>
        <v>192.49788180000002</v>
      </c>
      <c r="L341" s="483">
        <f>FY!L20</f>
        <v>202.12277589000001</v>
      </c>
      <c r="M341" s="483">
        <f>FY!M20</f>
        <v>212.22891468450007</v>
      </c>
      <c r="N341" s="483">
        <f>FY!N20</f>
        <v>222.84036041872503</v>
      </c>
      <c r="O341" s="483">
        <f>FY!O20</f>
        <v>233.98237843966135</v>
      </c>
      <c r="P341" s="483">
        <f>FY!P20</f>
        <v>245.6814973616444</v>
      </c>
      <c r="Q341" s="483">
        <f>FY!Q20</f>
        <v>257.9655722297266</v>
      </c>
      <c r="R341" s="81" t="str">
        <f>_xll.BLUEMATRIX2("ExcelToolkitService",C341,$B$1,"[DivisionName:3]DIVISION")</f>
        <v>#</v>
      </c>
      <c r="S341" s="82" t="str">
        <f>_xll.BLUEMATRIX2("/servlet/excelData",E341,$B$1,$B341&amp;":"&amp;E$115&amp;":"&amp;$R$114)</f>
        <v>#</v>
      </c>
      <c r="T341" s="82" t="str">
        <f>_xll.BLUEMATRIX2("/servlet/excelData",F341,$B$1,$B341&amp;":"&amp;F$115&amp;":"&amp;$R$114)</f>
        <v>#</v>
      </c>
      <c r="U341" s="82" t="str">
        <f>_xll.BLUEMATRIX2("/servlet/excelData",G341,$B$1,$B341&amp;":"&amp;G$115&amp;":"&amp;$R$114)</f>
        <v>#</v>
      </c>
      <c r="V341" s="82" t="str">
        <f>_xll.BLUEMATRIX2("/servlet/excelData",H341,$B$1,$B341&amp;":"&amp;H$115&amp;":"&amp;$R$114)</f>
        <v>#</v>
      </c>
      <c r="W341" s="82" t="str">
        <f>_xll.BLUEMATRIX2("/servlet/excelData",I341,$B$1,$B341&amp;":"&amp;I$115&amp;":"&amp;$R$114)</f>
        <v>#</v>
      </c>
      <c r="X341" s="82" t="str">
        <f>_xll.BLUEMATRIX2("/servlet/excelData",J341,$B$1,$B341&amp;":"&amp;J$115&amp;":"&amp;$R$114)</f>
        <v>#</v>
      </c>
      <c r="Y341" s="82" t="str">
        <f>_xll.BLUEMATRIX2("/servlet/excelData",K341,$B$1,$B341&amp;":"&amp;K$115&amp;":"&amp;$R$114)</f>
        <v>#</v>
      </c>
      <c r="Z341" s="82" t="str">
        <f>_xll.BLUEMATRIX2("/servlet/excelData",L341,$B$1,$B341&amp;":"&amp;L$115&amp;":"&amp;$R$114)</f>
        <v>#</v>
      </c>
      <c r="AA341" s="82" t="str">
        <f>_xll.BLUEMATRIX2("/servlet/excelData",M341,$B$1,$B341&amp;":"&amp;M$115&amp;":"&amp;$R$114)</f>
        <v>#</v>
      </c>
      <c r="AB341" s="82" t="str">
        <f>_xll.BLUEMATRIX2("/servlet/excelData",N341,$B$1,$B341&amp;":"&amp;N$115&amp;":"&amp;$R$114)</f>
        <v>#</v>
      </c>
      <c r="AC341" s="82" t="str">
        <f>_xll.BLUEMATRIX2("/servlet/excelData",O341,$B$1,$B341&amp;":"&amp;O$115&amp;":"&amp;$R$114)</f>
        <v>#</v>
      </c>
      <c r="AD341" s="82" t="str">
        <f>_xll.BLUEMATRIX2("/servlet/excelData",P341,$B$1,$B341&amp;":"&amp;P$115&amp;":"&amp;$R$114)</f>
        <v>#</v>
      </c>
      <c r="AE341" s="82" t="str">
        <f>_xll.BLUEMATRIX2("/servlet/excelData",Q341,$B$1,$B341&amp;":"&amp;Q$115&amp;":"&amp;$R$114)</f>
        <v>#</v>
      </c>
    </row>
    <row r="342" spans="1:31" ht="12.95" customHeight="1" x14ac:dyDescent="0.2">
      <c r="A342" s="26" t="s">
        <v>1090</v>
      </c>
      <c r="B342" s="29" t="s">
        <v>1091</v>
      </c>
      <c r="C342" s="163"/>
      <c r="D342" s="111"/>
      <c r="E342" s="111"/>
      <c r="F342" s="111"/>
      <c r="G342" s="111"/>
      <c r="H342" s="111"/>
      <c r="I342" s="111"/>
      <c r="J342" s="111"/>
      <c r="K342" s="111"/>
      <c r="L342" s="111"/>
      <c r="M342" s="111"/>
      <c r="N342" s="111"/>
      <c r="O342" s="111"/>
      <c r="P342" s="111"/>
      <c r="Q342" s="111"/>
      <c r="R342" s="191"/>
      <c r="S342" s="82" t="str">
        <f>_xll.BLUEMATRIX2("/servlet/excelData",E342,$B$1,$B342&amp;":"&amp;E$115&amp;":"&amp;$R$114)</f>
        <v>#</v>
      </c>
      <c r="T342" s="82" t="str">
        <f>_xll.BLUEMATRIX2("/servlet/excelData",F342,$B$1,$B342&amp;":"&amp;F$115&amp;":"&amp;$R$114)</f>
        <v>#</v>
      </c>
      <c r="U342" s="82" t="str">
        <f>_xll.BLUEMATRIX2("/servlet/excelData",G342,$B$1,$B342&amp;":"&amp;G$115&amp;":"&amp;$R$114)</f>
        <v>#</v>
      </c>
      <c r="V342" s="82" t="str">
        <f>_xll.BLUEMATRIX2("/servlet/excelData",H342,$B$1,$B342&amp;":"&amp;H$115&amp;":"&amp;$R$114)</f>
        <v>#</v>
      </c>
      <c r="W342" s="82" t="str">
        <f>_xll.BLUEMATRIX2("/servlet/excelData",I342,$B$1,$B342&amp;":"&amp;I$115&amp;":"&amp;$R$114)</f>
        <v>#</v>
      </c>
      <c r="X342" s="82" t="str">
        <f>_xll.BLUEMATRIX2("/servlet/excelData",J342,$B$1,$B342&amp;":"&amp;J$115&amp;":"&amp;$R$114)</f>
        <v>#</v>
      </c>
      <c r="Y342" s="82" t="str">
        <f>_xll.BLUEMATRIX2("/servlet/excelData",K342,$B$1,$B342&amp;":"&amp;K$115&amp;":"&amp;$R$114)</f>
        <v>#</v>
      </c>
      <c r="Z342" s="82" t="str">
        <f>_xll.BLUEMATRIX2("/servlet/excelData",L342,$B$1,$B342&amp;":"&amp;L$115&amp;":"&amp;$R$114)</f>
        <v>#</v>
      </c>
      <c r="AA342" s="82" t="str">
        <f>_xll.BLUEMATRIX2("/servlet/excelData",M342,$B$1,$B342&amp;":"&amp;M$115&amp;":"&amp;$R$114)</f>
        <v>#</v>
      </c>
      <c r="AB342" s="82" t="str">
        <f>_xll.BLUEMATRIX2("/servlet/excelData",N342,$B$1,$B342&amp;":"&amp;N$115&amp;":"&amp;$R$114)</f>
        <v>#</v>
      </c>
      <c r="AC342" s="82" t="str">
        <f>_xll.BLUEMATRIX2("/servlet/excelData",O342,$B$1,$B342&amp;":"&amp;O$115&amp;":"&amp;$R$114)</f>
        <v>#</v>
      </c>
      <c r="AD342" s="82" t="str">
        <f>_xll.BLUEMATRIX2("/servlet/excelData",P342,$B$1,$B342&amp;":"&amp;P$115&amp;":"&amp;$R$114)</f>
        <v>#</v>
      </c>
      <c r="AE342" s="82" t="str">
        <f>_xll.BLUEMATRIX2("/servlet/excelData",Q342,$B$1,$B342&amp;":"&amp;Q$115&amp;":"&amp;$R$114)</f>
        <v>#</v>
      </c>
    </row>
    <row r="343" spans="1:31" ht="12.95" customHeight="1" x14ac:dyDescent="0.2">
      <c r="A343" s="26" t="s">
        <v>1092</v>
      </c>
      <c r="B343" s="29" t="s">
        <v>1093</v>
      </c>
      <c r="C343" s="163"/>
      <c r="D343" s="111"/>
      <c r="E343" s="111"/>
      <c r="F343" s="111"/>
      <c r="G343" s="111"/>
      <c r="H343" s="111"/>
      <c r="I343" s="111"/>
      <c r="J343" s="111"/>
      <c r="K343" s="111"/>
      <c r="L343" s="111"/>
      <c r="M343" s="111"/>
      <c r="N343" s="111"/>
      <c r="O343" s="111"/>
      <c r="P343" s="111"/>
      <c r="Q343" s="111"/>
      <c r="R343" s="191"/>
      <c r="S343" s="82" t="str">
        <f>_xll.BLUEMATRIX2("/servlet/excelData",E343,$B$1,$B343&amp;":"&amp;E$115&amp;":"&amp;$R$114)</f>
        <v>#</v>
      </c>
      <c r="T343" s="82" t="str">
        <f>_xll.BLUEMATRIX2("/servlet/excelData",F343,$B$1,$B343&amp;":"&amp;F$115&amp;":"&amp;$R$114)</f>
        <v>#</v>
      </c>
      <c r="U343" s="82" t="str">
        <f>_xll.BLUEMATRIX2("/servlet/excelData",G343,$B$1,$B343&amp;":"&amp;G$115&amp;":"&amp;$R$114)</f>
        <v>#</v>
      </c>
      <c r="V343" s="82" t="str">
        <f>_xll.BLUEMATRIX2("/servlet/excelData",H343,$B$1,$B343&amp;":"&amp;H$115&amp;":"&amp;$R$114)</f>
        <v>#</v>
      </c>
      <c r="W343" s="82" t="str">
        <f>_xll.BLUEMATRIX2("/servlet/excelData",I343,$B$1,$B343&amp;":"&amp;I$115&amp;":"&amp;$R$114)</f>
        <v>#</v>
      </c>
      <c r="X343" s="82" t="str">
        <f>_xll.BLUEMATRIX2("/servlet/excelData",J343,$B$1,$B343&amp;":"&amp;J$115&amp;":"&amp;$R$114)</f>
        <v>#</v>
      </c>
      <c r="Y343" s="82" t="str">
        <f>_xll.BLUEMATRIX2("/servlet/excelData",K343,$B$1,$B343&amp;":"&amp;K$115&amp;":"&amp;$R$114)</f>
        <v>#</v>
      </c>
      <c r="Z343" s="82" t="str">
        <f>_xll.BLUEMATRIX2("/servlet/excelData",L343,$B$1,$B343&amp;":"&amp;L$115&amp;":"&amp;$R$114)</f>
        <v>#</v>
      </c>
      <c r="AA343" s="82" t="str">
        <f>_xll.BLUEMATRIX2("/servlet/excelData",M343,$B$1,$B343&amp;":"&amp;M$115&amp;":"&amp;$R$114)</f>
        <v>#</v>
      </c>
      <c r="AB343" s="82" t="str">
        <f>_xll.BLUEMATRIX2("/servlet/excelData",N343,$B$1,$B343&amp;":"&amp;N$115&amp;":"&amp;$R$114)</f>
        <v>#</v>
      </c>
      <c r="AC343" s="82" t="str">
        <f>_xll.BLUEMATRIX2("/servlet/excelData",O343,$B$1,$B343&amp;":"&amp;O$115&amp;":"&amp;$R$114)</f>
        <v>#</v>
      </c>
      <c r="AD343" s="82" t="str">
        <f>_xll.BLUEMATRIX2("/servlet/excelData",P343,$B$1,$B343&amp;":"&amp;P$115&amp;":"&amp;$R$114)</f>
        <v>#</v>
      </c>
      <c r="AE343" s="82" t="str">
        <f>_xll.BLUEMATRIX2("/servlet/excelData",Q343,$B$1,$B343&amp;":"&amp;Q$115&amp;":"&amp;$R$114)</f>
        <v>#</v>
      </c>
    </row>
    <row r="344" spans="1:31" ht="12.95" customHeight="1" x14ac:dyDescent="0.2">
      <c r="A344" s="26" t="s">
        <v>1094</v>
      </c>
      <c r="B344" s="29" t="s">
        <v>1095</v>
      </c>
      <c r="C344" s="163"/>
      <c r="D344" s="111"/>
      <c r="E344" s="111"/>
      <c r="F344" s="111"/>
      <c r="G344" s="111"/>
      <c r="H344" s="111"/>
      <c r="I344" s="111"/>
      <c r="J344" s="111"/>
      <c r="K344" s="111"/>
      <c r="L344" s="111"/>
      <c r="M344" s="111"/>
      <c r="N344" s="111"/>
      <c r="O344" s="111"/>
      <c r="P344" s="111"/>
      <c r="Q344" s="111"/>
      <c r="R344" s="191"/>
      <c r="S344" s="82" t="str">
        <f>_xll.BLUEMATRIX2("/servlet/excelData",E344,$B$1,$B344&amp;":"&amp;E$115&amp;":"&amp;$R$114)</f>
        <v>#</v>
      </c>
      <c r="T344" s="82" t="str">
        <f>_xll.BLUEMATRIX2("/servlet/excelData",F344,$B$1,$B344&amp;":"&amp;F$115&amp;":"&amp;$R$114)</f>
        <v>#</v>
      </c>
      <c r="U344" s="82" t="str">
        <f>_xll.BLUEMATRIX2("/servlet/excelData",G344,$B$1,$B344&amp;":"&amp;G$115&amp;":"&amp;$R$114)</f>
        <v>#</v>
      </c>
      <c r="V344" s="82" t="str">
        <f>_xll.BLUEMATRIX2("/servlet/excelData",H344,$B$1,$B344&amp;":"&amp;H$115&amp;":"&amp;$R$114)</f>
        <v>#</v>
      </c>
      <c r="W344" s="82" t="str">
        <f>_xll.BLUEMATRIX2("/servlet/excelData",I344,$B$1,$B344&amp;":"&amp;I$115&amp;":"&amp;$R$114)</f>
        <v>#</v>
      </c>
      <c r="X344" s="82" t="str">
        <f>_xll.BLUEMATRIX2("/servlet/excelData",J344,$B$1,$B344&amp;":"&amp;J$115&amp;":"&amp;$R$114)</f>
        <v>#</v>
      </c>
      <c r="Y344" s="82" t="str">
        <f>_xll.BLUEMATRIX2("/servlet/excelData",K344,$B$1,$B344&amp;":"&amp;K$115&amp;":"&amp;$R$114)</f>
        <v>#</v>
      </c>
      <c r="Z344" s="82" t="str">
        <f>_xll.BLUEMATRIX2("/servlet/excelData",L344,$B$1,$B344&amp;":"&amp;L$115&amp;":"&amp;$R$114)</f>
        <v>#</v>
      </c>
      <c r="AA344" s="82" t="str">
        <f>_xll.BLUEMATRIX2("/servlet/excelData",M344,$B$1,$B344&amp;":"&amp;M$115&amp;":"&amp;$R$114)</f>
        <v>#</v>
      </c>
      <c r="AB344" s="82" t="str">
        <f>_xll.BLUEMATRIX2("/servlet/excelData",N344,$B$1,$B344&amp;":"&amp;N$115&amp;":"&amp;$R$114)</f>
        <v>#</v>
      </c>
      <c r="AC344" s="82" t="str">
        <f>_xll.BLUEMATRIX2("/servlet/excelData",O344,$B$1,$B344&amp;":"&amp;O$115&amp;":"&amp;$R$114)</f>
        <v>#</v>
      </c>
      <c r="AD344" s="82" t="str">
        <f>_xll.BLUEMATRIX2("/servlet/excelData",P344,$B$1,$B344&amp;":"&amp;P$115&amp;":"&amp;$R$114)</f>
        <v>#</v>
      </c>
      <c r="AE344" s="82" t="str">
        <f>_xll.BLUEMATRIX2("/servlet/excelData",Q344,$B$1,$B344&amp;":"&amp;Q$115&amp;":"&amp;$R$114)</f>
        <v>#</v>
      </c>
    </row>
    <row r="345" spans="1:31" ht="12.95" customHeight="1" x14ac:dyDescent="0.2">
      <c r="A345" s="26" t="s">
        <v>1096</v>
      </c>
      <c r="B345" s="29" t="s">
        <v>1097</v>
      </c>
      <c r="C345" s="163"/>
      <c r="D345" s="111"/>
      <c r="E345" s="111"/>
      <c r="F345" s="111"/>
      <c r="G345" s="111"/>
      <c r="H345" s="111"/>
      <c r="I345" s="111"/>
      <c r="J345" s="111"/>
      <c r="K345" s="111"/>
      <c r="L345" s="111"/>
      <c r="M345" s="111"/>
      <c r="N345" s="111"/>
      <c r="O345" s="111"/>
      <c r="P345" s="111"/>
      <c r="Q345" s="111"/>
      <c r="R345" s="191"/>
      <c r="S345" s="82" t="str">
        <f>_xll.BLUEMATRIX2("/servlet/excelData",E345,$B$1,$B345&amp;":"&amp;E$115&amp;":"&amp;$R$114)</f>
        <v>#</v>
      </c>
      <c r="T345" s="82" t="str">
        <f>_xll.BLUEMATRIX2("/servlet/excelData",F345,$B$1,$B345&amp;":"&amp;F$115&amp;":"&amp;$R$114)</f>
        <v>#</v>
      </c>
      <c r="U345" s="82" t="str">
        <f>_xll.BLUEMATRIX2("/servlet/excelData",G345,$B$1,$B345&amp;":"&amp;G$115&amp;":"&amp;$R$114)</f>
        <v>#</v>
      </c>
      <c r="V345" s="82" t="str">
        <f>_xll.BLUEMATRIX2("/servlet/excelData",H345,$B$1,$B345&amp;":"&amp;H$115&amp;":"&amp;$R$114)</f>
        <v>#</v>
      </c>
      <c r="W345" s="82" t="str">
        <f>_xll.BLUEMATRIX2("/servlet/excelData",I345,$B$1,$B345&amp;":"&amp;I$115&amp;":"&amp;$R$114)</f>
        <v>#</v>
      </c>
      <c r="X345" s="82" t="str">
        <f>_xll.BLUEMATRIX2("/servlet/excelData",J345,$B$1,$B345&amp;":"&amp;J$115&amp;":"&amp;$R$114)</f>
        <v>#</v>
      </c>
      <c r="Y345" s="82" t="str">
        <f>_xll.BLUEMATRIX2("/servlet/excelData",K345,$B$1,$B345&amp;":"&amp;K$115&amp;":"&amp;$R$114)</f>
        <v>#</v>
      </c>
      <c r="Z345" s="82" t="str">
        <f>_xll.BLUEMATRIX2("/servlet/excelData",L345,$B$1,$B345&amp;":"&amp;L$115&amp;":"&amp;$R$114)</f>
        <v>#</v>
      </c>
      <c r="AA345" s="82" t="str">
        <f>_xll.BLUEMATRIX2("/servlet/excelData",M345,$B$1,$B345&amp;":"&amp;M$115&amp;":"&amp;$R$114)</f>
        <v>#</v>
      </c>
      <c r="AB345" s="82" t="str">
        <f>_xll.BLUEMATRIX2("/servlet/excelData",N345,$B$1,$B345&amp;":"&amp;N$115&amp;":"&amp;$R$114)</f>
        <v>#</v>
      </c>
      <c r="AC345" s="82" t="str">
        <f>_xll.BLUEMATRIX2("/servlet/excelData",O345,$B$1,$B345&amp;":"&amp;O$115&amp;":"&amp;$R$114)</f>
        <v>#</v>
      </c>
      <c r="AD345" s="82" t="str">
        <f>_xll.BLUEMATRIX2("/servlet/excelData",P345,$B$1,$B345&amp;":"&amp;P$115&amp;":"&amp;$R$114)</f>
        <v>#</v>
      </c>
      <c r="AE345" s="82" t="str">
        <f>_xll.BLUEMATRIX2("/servlet/excelData",Q345,$B$1,$B345&amp;":"&amp;Q$115&amp;":"&amp;$R$114)</f>
        <v>#</v>
      </c>
    </row>
    <row r="346" spans="1:31" ht="12.95" customHeight="1" x14ac:dyDescent="0.2">
      <c r="A346" s="26" t="s">
        <v>1098</v>
      </c>
      <c r="B346" s="29" t="s">
        <v>1099</v>
      </c>
      <c r="C346" s="163"/>
      <c r="D346" s="111"/>
      <c r="E346" s="111"/>
      <c r="F346" s="111"/>
      <c r="G346" s="111"/>
      <c r="H346" s="111"/>
      <c r="I346" s="111"/>
      <c r="J346" s="111"/>
      <c r="K346" s="111"/>
      <c r="L346" s="111"/>
      <c r="M346" s="111"/>
      <c r="N346" s="111"/>
      <c r="O346" s="111"/>
      <c r="P346" s="111"/>
      <c r="Q346" s="111"/>
      <c r="R346" s="191"/>
      <c r="S346" s="82" t="str">
        <f>_xll.BLUEMATRIX2("/servlet/excelData",E346,$B$1,$B346&amp;":"&amp;E$115&amp;":"&amp;$R$114)</f>
        <v>#</v>
      </c>
      <c r="T346" s="82" t="str">
        <f>_xll.BLUEMATRIX2("/servlet/excelData",F346,$B$1,$B346&amp;":"&amp;F$115&amp;":"&amp;$R$114)</f>
        <v>#</v>
      </c>
      <c r="U346" s="82" t="str">
        <f>_xll.BLUEMATRIX2("/servlet/excelData",G346,$B$1,$B346&amp;":"&amp;G$115&amp;":"&amp;$R$114)</f>
        <v>#</v>
      </c>
      <c r="V346" s="82" t="str">
        <f>_xll.BLUEMATRIX2("/servlet/excelData",H346,$B$1,$B346&amp;":"&amp;H$115&amp;":"&amp;$R$114)</f>
        <v>#</v>
      </c>
      <c r="W346" s="82" t="str">
        <f>_xll.BLUEMATRIX2("/servlet/excelData",I346,$B$1,$B346&amp;":"&amp;I$115&amp;":"&amp;$R$114)</f>
        <v>#</v>
      </c>
      <c r="X346" s="82" t="str">
        <f>_xll.BLUEMATRIX2("/servlet/excelData",J346,$B$1,$B346&amp;":"&amp;J$115&amp;":"&amp;$R$114)</f>
        <v>#</v>
      </c>
      <c r="Y346" s="82" t="str">
        <f>_xll.BLUEMATRIX2("/servlet/excelData",K346,$B$1,$B346&amp;":"&amp;K$115&amp;":"&amp;$R$114)</f>
        <v>#</v>
      </c>
      <c r="Z346" s="82" t="str">
        <f>_xll.BLUEMATRIX2("/servlet/excelData",L346,$B$1,$B346&amp;":"&amp;L$115&amp;":"&amp;$R$114)</f>
        <v>#</v>
      </c>
      <c r="AA346" s="82" t="str">
        <f>_xll.BLUEMATRIX2("/servlet/excelData",M346,$B$1,$B346&amp;":"&amp;M$115&amp;":"&amp;$R$114)</f>
        <v>#</v>
      </c>
      <c r="AB346" s="82" t="str">
        <f>_xll.BLUEMATRIX2("/servlet/excelData",N346,$B$1,$B346&amp;":"&amp;N$115&amp;":"&amp;$R$114)</f>
        <v>#</v>
      </c>
      <c r="AC346" s="82" t="str">
        <f>_xll.BLUEMATRIX2("/servlet/excelData",O346,$B$1,$B346&amp;":"&amp;O$115&amp;":"&amp;$R$114)</f>
        <v>#</v>
      </c>
      <c r="AD346" s="82" t="str">
        <f>_xll.BLUEMATRIX2("/servlet/excelData",P346,$B$1,$B346&amp;":"&amp;P$115&amp;":"&amp;$R$114)</f>
        <v>#</v>
      </c>
      <c r="AE346" s="82" t="str">
        <f>_xll.BLUEMATRIX2("/servlet/excelData",Q346,$B$1,$B346&amp;":"&amp;Q$115&amp;":"&amp;$R$114)</f>
        <v>#</v>
      </c>
    </row>
    <row r="347" spans="1:31" ht="12.95" customHeight="1" x14ac:dyDescent="0.2">
      <c r="A347" s="26" t="s">
        <v>1100</v>
      </c>
      <c r="B347" s="29" t="s">
        <v>1101</v>
      </c>
      <c r="C347" s="163"/>
      <c r="D347" s="111"/>
      <c r="E347" s="111"/>
      <c r="F347" s="111"/>
      <c r="G347" s="111"/>
      <c r="H347" s="111"/>
      <c r="I347" s="111"/>
      <c r="J347" s="111"/>
      <c r="K347" s="111"/>
      <c r="L347" s="111"/>
      <c r="M347" s="111"/>
      <c r="N347" s="111"/>
      <c r="O347" s="111"/>
      <c r="P347" s="111"/>
      <c r="Q347" s="111"/>
      <c r="R347" s="191"/>
      <c r="S347" s="82" t="str">
        <f>_xll.BLUEMATRIX2("/servlet/excelData",E347,$B$1,$B347&amp;":"&amp;E$115&amp;":"&amp;$R$114)</f>
        <v>#</v>
      </c>
      <c r="T347" s="82" t="str">
        <f>_xll.BLUEMATRIX2("/servlet/excelData",F347,$B$1,$B347&amp;":"&amp;F$115&amp;":"&amp;$R$114)</f>
        <v>#</v>
      </c>
      <c r="U347" s="82" t="str">
        <f>_xll.BLUEMATRIX2("/servlet/excelData",G347,$B$1,$B347&amp;":"&amp;G$115&amp;":"&amp;$R$114)</f>
        <v>#</v>
      </c>
      <c r="V347" s="82" t="str">
        <f>_xll.BLUEMATRIX2("/servlet/excelData",H347,$B$1,$B347&amp;":"&amp;H$115&amp;":"&amp;$R$114)</f>
        <v>#</v>
      </c>
      <c r="W347" s="82" t="str">
        <f>_xll.BLUEMATRIX2("/servlet/excelData",I347,$B$1,$B347&amp;":"&amp;I$115&amp;":"&amp;$R$114)</f>
        <v>#</v>
      </c>
      <c r="X347" s="82" t="str">
        <f>_xll.BLUEMATRIX2("/servlet/excelData",J347,$B$1,$B347&amp;":"&amp;J$115&amp;":"&amp;$R$114)</f>
        <v>#</v>
      </c>
      <c r="Y347" s="82" t="str">
        <f>_xll.BLUEMATRIX2("/servlet/excelData",K347,$B$1,$B347&amp;":"&amp;K$115&amp;":"&amp;$R$114)</f>
        <v>#</v>
      </c>
      <c r="Z347" s="82" t="str">
        <f>_xll.BLUEMATRIX2("/servlet/excelData",L347,$B$1,$B347&amp;":"&amp;L$115&amp;":"&amp;$R$114)</f>
        <v>#</v>
      </c>
      <c r="AA347" s="82" t="str">
        <f>_xll.BLUEMATRIX2("/servlet/excelData",M347,$B$1,$B347&amp;":"&amp;M$115&amp;":"&amp;$R$114)</f>
        <v>#</v>
      </c>
      <c r="AB347" s="82" t="str">
        <f>_xll.BLUEMATRIX2("/servlet/excelData",N347,$B$1,$B347&amp;":"&amp;N$115&amp;":"&amp;$R$114)</f>
        <v>#</v>
      </c>
      <c r="AC347" s="82" t="str">
        <f>_xll.BLUEMATRIX2("/servlet/excelData",O347,$B$1,$B347&amp;":"&amp;O$115&amp;":"&amp;$R$114)</f>
        <v>#</v>
      </c>
      <c r="AD347" s="82" t="str">
        <f>_xll.BLUEMATRIX2("/servlet/excelData",P347,$B$1,$B347&amp;":"&amp;P$115&amp;":"&amp;$R$114)</f>
        <v>#</v>
      </c>
      <c r="AE347" s="82" t="str">
        <f>_xll.BLUEMATRIX2("/servlet/excelData",Q347,$B$1,$B347&amp;":"&amp;Q$115&amp;":"&amp;$R$114)</f>
        <v>#</v>
      </c>
    </row>
    <row r="348" spans="1:31" ht="12.95" customHeight="1" x14ac:dyDescent="0.2">
      <c r="A348" s="26" t="s">
        <v>1102</v>
      </c>
      <c r="B348" s="29" t="s">
        <v>1103</v>
      </c>
      <c r="C348" s="163"/>
      <c r="D348" s="111"/>
      <c r="E348" s="111"/>
      <c r="F348" s="111"/>
      <c r="G348" s="111"/>
      <c r="H348" s="111"/>
      <c r="I348" s="111"/>
      <c r="J348" s="111"/>
      <c r="K348" s="111"/>
      <c r="L348" s="111"/>
      <c r="M348" s="111"/>
      <c r="N348" s="111"/>
      <c r="O348" s="111"/>
      <c r="P348" s="111"/>
      <c r="Q348" s="111"/>
      <c r="R348" s="191"/>
      <c r="S348" s="82" t="str">
        <f>_xll.BLUEMATRIX2("/servlet/excelData",E348,$B$1,$B348&amp;":"&amp;E$115&amp;":"&amp;$R$114)</f>
        <v>#</v>
      </c>
      <c r="T348" s="82" t="str">
        <f>_xll.BLUEMATRIX2("/servlet/excelData",F348,$B$1,$B348&amp;":"&amp;F$115&amp;":"&amp;$R$114)</f>
        <v>#</v>
      </c>
      <c r="U348" s="82" t="str">
        <f>_xll.BLUEMATRIX2("/servlet/excelData",G348,$B$1,$B348&amp;":"&amp;G$115&amp;":"&amp;$R$114)</f>
        <v>#</v>
      </c>
      <c r="V348" s="82" t="str">
        <f>_xll.BLUEMATRIX2("/servlet/excelData",H348,$B$1,$B348&amp;":"&amp;H$115&amp;":"&amp;$R$114)</f>
        <v>#</v>
      </c>
      <c r="W348" s="82" t="str">
        <f>_xll.BLUEMATRIX2("/servlet/excelData",I348,$B$1,$B348&amp;":"&amp;I$115&amp;":"&amp;$R$114)</f>
        <v>#</v>
      </c>
      <c r="X348" s="82" t="str">
        <f>_xll.BLUEMATRIX2("/servlet/excelData",J348,$B$1,$B348&amp;":"&amp;J$115&amp;":"&amp;$R$114)</f>
        <v>#</v>
      </c>
      <c r="Y348" s="82" t="str">
        <f>_xll.BLUEMATRIX2("/servlet/excelData",K348,$B$1,$B348&amp;":"&amp;K$115&amp;":"&amp;$R$114)</f>
        <v>#</v>
      </c>
      <c r="Z348" s="82" t="str">
        <f>_xll.BLUEMATRIX2("/servlet/excelData",L348,$B$1,$B348&amp;":"&amp;L$115&amp;":"&amp;$R$114)</f>
        <v>#</v>
      </c>
      <c r="AA348" s="82" t="str">
        <f>_xll.BLUEMATRIX2("/servlet/excelData",M348,$B$1,$B348&amp;":"&amp;M$115&amp;":"&amp;$R$114)</f>
        <v>#</v>
      </c>
      <c r="AB348" s="82" t="str">
        <f>_xll.BLUEMATRIX2("/servlet/excelData",N348,$B$1,$B348&amp;":"&amp;N$115&amp;":"&amp;$R$114)</f>
        <v>#</v>
      </c>
      <c r="AC348" s="82" t="str">
        <f>_xll.BLUEMATRIX2("/servlet/excelData",O348,$B$1,$B348&amp;":"&amp;O$115&amp;":"&amp;$R$114)</f>
        <v>#</v>
      </c>
      <c r="AD348" s="82" t="str">
        <f>_xll.BLUEMATRIX2("/servlet/excelData",P348,$B$1,$B348&amp;":"&amp;P$115&amp;":"&amp;$R$114)</f>
        <v>#</v>
      </c>
      <c r="AE348" s="82" t="str">
        <f>_xll.BLUEMATRIX2("/servlet/excelData",Q348,$B$1,$B348&amp;":"&amp;Q$115&amp;":"&amp;$R$114)</f>
        <v>#</v>
      </c>
    </row>
    <row r="349" spans="1:31" ht="12.95" customHeight="1" x14ac:dyDescent="0.2">
      <c r="A349" s="26"/>
      <c r="B349" s="29"/>
      <c r="C349" s="164"/>
      <c r="D349" s="192"/>
      <c r="E349" s="192"/>
      <c r="F349" s="192"/>
      <c r="G349" s="192"/>
      <c r="H349" s="192"/>
      <c r="I349" s="192"/>
      <c r="J349" s="192"/>
      <c r="K349" s="192"/>
      <c r="L349" s="192"/>
      <c r="M349" s="192"/>
      <c r="N349" s="192"/>
      <c r="O349" s="192"/>
      <c r="P349" s="192"/>
      <c r="Q349" s="192"/>
      <c r="R349" s="191"/>
      <c r="S349" s="82"/>
      <c r="T349" s="82"/>
      <c r="U349" s="82"/>
      <c r="V349" s="82"/>
      <c r="W349" s="82"/>
      <c r="X349" s="82"/>
      <c r="Y349" s="82"/>
      <c r="Z349" s="82"/>
      <c r="AA349" s="82"/>
      <c r="AB349" s="82"/>
      <c r="AC349" s="82"/>
      <c r="AD349" s="82"/>
      <c r="AE349" s="82"/>
    </row>
    <row r="350" spans="1:31" ht="12.95" customHeight="1" x14ac:dyDescent="0.2">
      <c r="A350" s="26" t="s">
        <v>1104</v>
      </c>
      <c r="B350" s="29" t="s">
        <v>1105</v>
      </c>
      <c r="C350" s="190"/>
      <c r="D350" s="111"/>
      <c r="E350" s="483"/>
      <c r="F350" s="483"/>
      <c r="G350" s="483"/>
      <c r="H350" s="483"/>
      <c r="I350" s="483"/>
      <c r="J350" s="483"/>
      <c r="K350" s="483"/>
      <c r="L350" s="483"/>
      <c r="M350" s="483"/>
      <c r="N350" s="483"/>
      <c r="O350" s="483"/>
      <c r="P350" s="483"/>
      <c r="Q350" s="483"/>
      <c r="R350" s="81"/>
      <c r="S350" s="82" t="str">
        <f>_xll.BLUEMATRIX2("/servlet/excelData",E350,$B$1,$B350&amp;":"&amp;E$115&amp;":"&amp;$R$114)</f>
        <v>#</v>
      </c>
      <c r="T350" s="82" t="str">
        <f>_xll.BLUEMATRIX2("/servlet/excelData",F350,$B$1,$B350&amp;":"&amp;F$115&amp;":"&amp;$R$114)</f>
        <v>#</v>
      </c>
      <c r="U350" s="82" t="str">
        <f>_xll.BLUEMATRIX2("/servlet/excelData",G350,$B$1,$B350&amp;":"&amp;G$115&amp;":"&amp;$R$114)</f>
        <v>#</v>
      </c>
      <c r="V350" s="82" t="str">
        <f>_xll.BLUEMATRIX2("/servlet/excelData",H350,$B$1,$B350&amp;":"&amp;H$115&amp;":"&amp;$R$114)</f>
        <v>#</v>
      </c>
      <c r="W350" s="82" t="str">
        <f>_xll.BLUEMATRIX2("/servlet/excelData",I350,$B$1,$B350&amp;":"&amp;I$115&amp;":"&amp;$R$114)</f>
        <v>#</v>
      </c>
      <c r="X350" s="82" t="str">
        <f>_xll.BLUEMATRIX2("/servlet/excelData",J350,$B$1,$B350&amp;":"&amp;J$115&amp;":"&amp;$R$114)</f>
        <v>#</v>
      </c>
      <c r="Y350" s="82" t="str">
        <f>_xll.BLUEMATRIX2("/servlet/excelData",K350,$B$1,$B350&amp;":"&amp;K$115&amp;":"&amp;$R$114)</f>
        <v>#</v>
      </c>
      <c r="Z350" s="82" t="str">
        <f>_xll.BLUEMATRIX2("/servlet/excelData",L350,$B$1,$B350&amp;":"&amp;L$115&amp;":"&amp;$R$114)</f>
        <v>#</v>
      </c>
      <c r="AA350" s="82" t="str">
        <f>_xll.BLUEMATRIX2("/servlet/excelData",M350,$B$1,$B350&amp;":"&amp;M$115&amp;":"&amp;$R$114)</f>
        <v>#</v>
      </c>
      <c r="AB350" s="82" t="str">
        <f>_xll.BLUEMATRIX2("/servlet/excelData",N350,$B$1,$B350&amp;":"&amp;N$115&amp;":"&amp;$R$114)</f>
        <v>#</v>
      </c>
      <c r="AC350" s="82" t="str">
        <f>_xll.BLUEMATRIX2("/servlet/excelData",O350,$B$1,$B350&amp;":"&amp;O$115&amp;":"&amp;$R$114)</f>
        <v>#</v>
      </c>
      <c r="AD350" s="82" t="str">
        <f>_xll.BLUEMATRIX2("/servlet/excelData",P350,$B$1,$B350&amp;":"&amp;P$115&amp;":"&amp;$R$114)</f>
        <v>#</v>
      </c>
      <c r="AE350" s="82" t="str">
        <f>_xll.BLUEMATRIX2("/servlet/excelData",Q350,$B$1,$B350&amp;":"&amp;Q$115&amp;":"&amp;$R$114)</f>
        <v>#</v>
      </c>
    </row>
    <row r="351" spans="1:31" ht="12.95" customHeight="1" x14ac:dyDescent="0.2">
      <c r="A351" s="26" t="s">
        <v>1106</v>
      </c>
      <c r="B351" s="29" t="s">
        <v>1107</v>
      </c>
      <c r="C351" s="190"/>
      <c r="D351" s="111"/>
      <c r="E351" s="483"/>
      <c r="F351" s="483"/>
      <c r="G351" s="483"/>
      <c r="H351" s="483"/>
      <c r="I351" s="483"/>
      <c r="J351" s="483"/>
      <c r="K351" s="483"/>
      <c r="L351" s="483"/>
      <c r="M351" s="483"/>
      <c r="N351" s="483"/>
      <c r="O351" s="483"/>
      <c r="P351" s="483"/>
      <c r="Q351" s="483"/>
      <c r="R351" s="191"/>
      <c r="S351" s="82" t="str">
        <f>_xll.BLUEMATRIX2("/servlet/excelData",E351,$B$1,$B351&amp;":"&amp;E$115&amp;":"&amp;$R$114)</f>
        <v>#</v>
      </c>
      <c r="T351" s="82" t="str">
        <f>_xll.BLUEMATRIX2("/servlet/excelData",F351,$B$1,$B351&amp;":"&amp;F$115&amp;":"&amp;$R$114)</f>
        <v>#</v>
      </c>
      <c r="U351" s="82" t="str">
        <f>_xll.BLUEMATRIX2("/servlet/excelData",G351,$B$1,$B351&amp;":"&amp;G$115&amp;":"&amp;$R$114)</f>
        <v>#</v>
      </c>
      <c r="V351" s="82" t="str">
        <f>_xll.BLUEMATRIX2("/servlet/excelData",H351,$B$1,$B351&amp;":"&amp;H$115&amp;":"&amp;$R$114)</f>
        <v>#</v>
      </c>
      <c r="W351" s="82" t="str">
        <f>_xll.BLUEMATRIX2("/servlet/excelData",I351,$B$1,$B351&amp;":"&amp;I$115&amp;":"&amp;$R$114)</f>
        <v>#</v>
      </c>
      <c r="X351" s="82" t="str">
        <f>_xll.BLUEMATRIX2("/servlet/excelData",J351,$B$1,$B351&amp;":"&amp;J$115&amp;":"&amp;$R$114)</f>
        <v>#</v>
      </c>
      <c r="Y351" s="82" t="str">
        <f>_xll.BLUEMATRIX2("/servlet/excelData",K351,$B$1,$B351&amp;":"&amp;K$115&amp;":"&amp;$R$114)</f>
        <v>#</v>
      </c>
      <c r="Z351" s="82" t="str">
        <f>_xll.BLUEMATRIX2("/servlet/excelData",L351,$B$1,$B351&amp;":"&amp;L$115&amp;":"&amp;$R$114)</f>
        <v>#</v>
      </c>
      <c r="AA351" s="82" t="str">
        <f>_xll.BLUEMATRIX2("/servlet/excelData",M351,$B$1,$B351&amp;":"&amp;M$115&amp;":"&amp;$R$114)</f>
        <v>#</v>
      </c>
      <c r="AB351" s="82" t="str">
        <f>_xll.BLUEMATRIX2("/servlet/excelData",N351,$B$1,$B351&amp;":"&amp;N$115&amp;":"&amp;$R$114)</f>
        <v>#</v>
      </c>
      <c r="AC351" s="82" t="str">
        <f>_xll.BLUEMATRIX2("/servlet/excelData",O351,$B$1,$B351&amp;":"&amp;O$115&amp;":"&amp;$R$114)</f>
        <v>#</v>
      </c>
      <c r="AD351" s="82" t="str">
        <f>_xll.BLUEMATRIX2("/servlet/excelData",P351,$B$1,$B351&amp;":"&amp;P$115&amp;":"&amp;$R$114)</f>
        <v>#</v>
      </c>
      <c r="AE351" s="82" t="str">
        <f>_xll.BLUEMATRIX2("/servlet/excelData",Q351,$B$1,$B351&amp;":"&amp;Q$115&amp;":"&amp;$R$114)</f>
        <v>#</v>
      </c>
    </row>
    <row r="352" spans="1:31" ht="12.95" customHeight="1" x14ac:dyDescent="0.2">
      <c r="A352" s="26" t="s">
        <v>1108</v>
      </c>
      <c r="B352" s="29" t="s">
        <v>1109</v>
      </c>
      <c r="C352" s="190"/>
      <c r="D352" s="111"/>
      <c r="E352" s="483"/>
      <c r="F352" s="483"/>
      <c r="G352" s="483"/>
      <c r="H352" s="483"/>
      <c r="I352" s="483"/>
      <c r="J352" s="483"/>
      <c r="K352" s="483"/>
      <c r="L352" s="483"/>
      <c r="M352" s="483"/>
      <c r="N352" s="483"/>
      <c r="O352" s="483"/>
      <c r="P352" s="483"/>
      <c r="Q352" s="483"/>
      <c r="R352" s="191"/>
      <c r="S352" s="82" t="str">
        <f>_xll.BLUEMATRIX2("/servlet/excelData",E352,$B$1,$B352&amp;":"&amp;E$115&amp;":"&amp;$R$114)</f>
        <v>#</v>
      </c>
      <c r="T352" s="82" t="str">
        <f>_xll.BLUEMATRIX2("/servlet/excelData",F352,$B$1,$B352&amp;":"&amp;F$115&amp;":"&amp;$R$114)</f>
        <v>#</v>
      </c>
      <c r="U352" s="82" t="str">
        <f>_xll.BLUEMATRIX2("/servlet/excelData",G352,$B$1,$B352&amp;":"&amp;G$115&amp;":"&amp;$R$114)</f>
        <v>#</v>
      </c>
      <c r="V352" s="82" t="str">
        <f>_xll.BLUEMATRIX2("/servlet/excelData",H352,$B$1,$B352&amp;":"&amp;H$115&amp;":"&amp;$R$114)</f>
        <v>#</v>
      </c>
      <c r="W352" s="82" t="str">
        <f>_xll.BLUEMATRIX2("/servlet/excelData",I352,$B$1,$B352&amp;":"&amp;I$115&amp;":"&amp;$R$114)</f>
        <v>#</v>
      </c>
      <c r="X352" s="82" t="str">
        <f>_xll.BLUEMATRIX2("/servlet/excelData",J352,$B$1,$B352&amp;":"&amp;J$115&amp;":"&amp;$R$114)</f>
        <v>#</v>
      </c>
      <c r="Y352" s="82" t="str">
        <f>_xll.BLUEMATRIX2("/servlet/excelData",K352,$B$1,$B352&amp;":"&amp;K$115&amp;":"&amp;$R$114)</f>
        <v>#</v>
      </c>
      <c r="Z352" s="82" t="str">
        <f>_xll.BLUEMATRIX2("/servlet/excelData",L352,$B$1,$B352&amp;":"&amp;L$115&amp;":"&amp;$R$114)</f>
        <v>#</v>
      </c>
      <c r="AA352" s="82" t="str">
        <f>_xll.BLUEMATRIX2("/servlet/excelData",M352,$B$1,$B352&amp;":"&amp;M$115&amp;":"&amp;$R$114)</f>
        <v>#</v>
      </c>
      <c r="AB352" s="82" t="str">
        <f>_xll.BLUEMATRIX2("/servlet/excelData",N352,$B$1,$B352&amp;":"&amp;N$115&amp;":"&amp;$R$114)</f>
        <v>#</v>
      </c>
      <c r="AC352" s="82" t="str">
        <f>_xll.BLUEMATRIX2("/servlet/excelData",O352,$B$1,$B352&amp;":"&amp;O$115&amp;":"&amp;$R$114)</f>
        <v>#</v>
      </c>
      <c r="AD352" s="82" t="str">
        <f>_xll.BLUEMATRIX2("/servlet/excelData",P352,$B$1,$B352&amp;":"&amp;P$115&amp;":"&amp;$R$114)</f>
        <v>#</v>
      </c>
      <c r="AE352" s="82" t="str">
        <f>_xll.BLUEMATRIX2("/servlet/excelData",Q352,$B$1,$B352&amp;":"&amp;Q$115&amp;":"&amp;$R$114)</f>
        <v>#</v>
      </c>
    </row>
    <row r="353" spans="1:31" ht="12.95" customHeight="1" x14ac:dyDescent="0.2">
      <c r="A353" s="26" t="s">
        <v>1110</v>
      </c>
      <c r="B353" s="29" t="s">
        <v>1111</v>
      </c>
      <c r="C353" s="190"/>
      <c r="D353" s="111"/>
      <c r="E353" s="111"/>
      <c r="F353" s="111"/>
      <c r="G353" s="111"/>
      <c r="H353" s="111"/>
      <c r="I353" s="111"/>
      <c r="J353" s="111"/>
      <c r="K353" s="111"/>
      <c r="L353" s="111"/>
      <c r="M353" s="111"/>
      <c r="N353" s="111"/>
      <c r="O353" s="111"/>
      <c r="P353" s="111"/>
      <c r="Q353" s="111"/>
      <c r="R353" s="191"/>
      <c r="S353" s="82" t="str">
        <f>_xll.BLUEMATRIX2("/servlet/excelData",E353,$B$1,$B353&amp;":"&amp;E$115&amp;":"&amp;$R$114)</f>
        <v>#</v>
      </c>
      <c r="T353" s="82" t="str">
        <f>_xll.BLUEMATRIX2("/servlet/excelData",F353,$B$1,$B353&amp;":"&amp;F$115&amp;":"&amp;$R$114)</f>
        <v>#</v>
      </c>
      <c r="U353" s="82" t="str">
        <f>_xll.BLUEMATRIX2("/servlet/excelData",G353,$B$1,$B353&amp;":"&amp;G$115&amp;":"&amp;$R$114)</f>
        <v>#</v>
      </c>
      <c r="V353" s="82" t="str">
        <f>_xll.BLUEMATRIX2("/servlet/excelData",H353,$B$1,$B353&amp;":"&amp;H$115&amp;":"&amp;$R$114)</f>
        <v>#</v>
      </c>
      <c r="W353" s="82" t="str">
        <f>_xll.BLUEMATRIX2("/servlet/excelData",I353,$B$1,$B353&amp;":"&amp;I$115&amp;":"&amp;$R$114)</f>
        <v>#</v>
      </c>
      <c r="X353" s="82" t="str">
        <f>_xll.BLUEMATRIX2("/servlet/excelData",J353,$B$1,$B353&amp;":"&amp;J$115&amp;":"&amp;$R$114)</f>
        <v>#</v>
      </c>
      <c r="Y353" s="82" t="str">
        <f>_xll.BLUEMATRIX2("/servlet/excelData",K353,$B$1,$B353&amp;":"&amp;K$115&amp;":"&amp;$R$114)</f>
        <v>#</v>
      </c>
      <c r="Z353" s="82" t="str">
        <f>_xll.BLUEMATRIX2("/servlet/excelData",L353,$B$1,$B353&amp;":"&amp;L$115&amp;":"&amp;$R$114)</f>
        <v>#</v>
      </c>
      <c r="AA353" s="82" t="str">
        <f>_xll.BLUEMATRIX2("/servlet/excelData",M353,$B$1,$B353&amp;":"&amp;M$115&amp;":"&amp;$R$114)</f>
        <v>#</v>
      </c>
      <c r="AB353" s="82" t="str">
        <f>_xll.BLUEMATRIX2("/servlet/excelData",N353,$B$1,$B353&amp;":"&amp;N$115&amp;":"&amp;$R$114)</f>
        <v>#</v>
      </c>
      <c r="AC353" s="82" t="str">
        <f>_xll.BLUEMATRIX2("/servlet/excelData",O353,$B$1,$B353&amp;":"&amp;O$115&amp;":"&amp;$R$114)</f>
        <v>#</v>
      </c>
      <c r="AD353" s="82" t="str">
        <f>_xll.BLUEMATRIX2("/servlet/excelData",P353,$B$1,$B353&amp;":"&amp;P$115&amp;":"&amp;$R$114)</f>
        <v>#</v>
      </c>
      <c r="AE353" s="82" t="str">
        <f>_xll.BLUEMATRIX2("/servlet/excelData",Q353,$B$1,$B353&amp;":"&amp;Q$115&amp;":"&amp;$R$114)</f>
        <v>#</v>
      </c>
    </row>
    <row r="354" spans="1:31" ht="12.95" customHeight="1" x14ac:dyDescent="0.2">
      <c r="A354" s="26" t="s">
        <v>1112</v>
      </c>
      <c r="B354" s="29" t="s">
        <v>1113</v>
      </c>
      <c r="C354" s="190"/>
      <c r="D354" s="111"/>
      <c r="E354" s="111"/>
      <c r="F354" s="111"/>
      <c r="G354" s="111"/>
      <c r="H354" s="111"/>
      <c r="I354" s="111"/>
      <c r="J354" s="111"/>
      <c r="K354" s="111"/>
      <c r="L354" s="111"/>
      <c r="M354" s="111"/>
      <c r="N354" s="111"/>
      <c r="O354" s="111"/>
      <c r="P354" s="111"/>
      <c r="Q354" s="111"/>
      <c r="R354" s="191"/>
      <c r="S354" s="82" t="str">
        <f>_xll.BLUEMATRIX2("/servlet/excelData",E354,$B$1,$B354&amp;":"&amp;E$115&amp;":"&amp;$R$114)</f>
        <v>#</v>
      </c>
      <c r="T354" s="82" t="str">
        <f>_xll.BLUEMATRIX2("/servlet/excelData",F354,$B$1,$B354&amp;":"&amp;F$115&amp;":"&amp;$R$114)</f>
        <v>#</v>
      </c>
      <c r="U354" s="82" t="str">
        <f>_xll.BLUEMATRIX2("/servlet/excelData",G354,$B$1,$B354&amp;":"&amp;G$115&amp;":"&amp;$R$114)</f>
        <v>#</v>
      </c>
      <c r="V354" s="82" t="str">
        <f>_xll.BLUEMATRIX2("/servlet/excelData",H354,$B$1,$B354&amp;":"&amp;H$115&amp;":"&amp;$R$114)</f>
        <v>#</v>
      </c>
      <c r="W354" s="82" t="str">
        <f>_xll.BLUEMATRIX2("/servlet/excelData",I354,$B$1,$B354&amp;":"&amp;I$115&amp;":"&amp;$R$114)</f>
        <v>#</v>
      </c>
      <c r="X354" s="82" t="str">
        <f>_xll.BLUEMATRIX2("/servlet/excelData",J354,$B$1,$B354&amp;":"&amp;J$115&amp;":"&amp;$R$114)</f>
        <v>#</v>
      </c>
      <c r="Y354" s="82" t="str">
        <f>_xll.BLUEMATRIX2("/servlet/excelData",K354,$B$1,$B354&amp;":"&amp;K$115&amp;":"&amp;$R$114)</f>
        <v>#</v>
      </c>
      <c r="Z354" s="82" t="str">
        <f>_xll.BLUEMATRIX2("/servlet/excelData",L354,$B$1,$B354&amp;":"&amp;L$115&amp;":"&amp;$R$114)</f>
        <v>#</v>
      </c>
      <c r="AA354" s="82" t="str">
        <f>_xll.BLUEMATRIX2("/servlet/excelData",M354,$B$1,$B354&amp;":"&amp;M$115&amp;":"&amp;$R$114)</f>
        <v>#</v>
      </c>
      <c r="AB354" s="82" t="str">
        <f>_xll.BLUEMATRIX2("/servlet/excelData",N354,$B$1,$B354&amp;":"&amp;N$115&amp;":"&amp;$R$114)</f>
        <v>#</v>
      </c>
      <c r="AC354" s="82" t="str">
        <f>_xll.BLUEMATRIX2("/servlet/excelData",O354,$B$1,$B354&amp;":"&amp;O$115&amp;":"&amp;$R$114)</f>
        <v>#</v>
      </c>
      <c r="AD354" s="82" t="str">
        <f>_xll.BLUEMATRIX2("/servlet/excelData",P354,$B$1,$B354&amp;":"&amp;P$115&amp;":"&amp;$R$114)</f>
        <v>#</v>
      </c>
      <c r="AE354" s="82" t="str">
        <f>_xll.BLUEMATRIX2("/servlet/excelData",Q354,$B$1,$B354&amp;":"&amp;Q$115&amp;":"&amp;$R$114)</f>
        <v>#</v>
      </c>
    </row>
    <row r="355" spans="1:31" ht="12.95" customHeight="1" x14ac:dyDescent="0.2">
      <c r="A355" s="26" t="s">
        <v>1114</v>
      </c>
      <c r="B355" s="29" t="s">
        <v>1115</v>
      </c>
      <c r="C355" s="190"/>
      <c r="D355" s="111"/>
      <c r="E355" s="111"/>
      <c r="F355" s="111"/>
      <c r="G355" s="111"/>
      <c r="H355" s="111"/>
      <c r="I355" s="111"/>
      <c r="J355" s="111"/>
      <c r="K355" s="111"/>
      <c r="L355" s="111"/>
      <c r="M355" s="111"/>
      <c r="N355" s="111"/>
      <c r="O355" s="111"/>
      <c r="P355" s="111"/>
      <c r="Q355" s="111"/>
      <c r="R355" s="191"/>
      <c r="S355" s="82" t="str">
        <f>_xll.BLUEMATRIX2("/servlet/excelData",E355,$B$1,$B355&amp;":"&amp;E$115&amp;":"&amp;$R$114)</f>
        <v>#</v>
      </c>
      <c r="T355" s="82" t="str">
        <f>_xll.BLUEMATRIX2("/servlet/excelData",F355,$B$1,$B355&amp;":"&amp;F$115&amp;":"&amp;$R$114)</f>
        <v>#</v>
      </c>
      <c r="U355" s="82" t="str">
        <f>_xll.BLUEMATRIX2("/servlet/excelData",G355,$B$1,$B355&amp;":"&amp;G$115&amp;":"&amp;$R$114)</f>
        <v>#</v>
      </c>
      <c r="V355" s="82" t="str">
        <f>_xll.BLUEMATRIX2("/servlet/excelData",H355,$B$1,$B355&amp;":"&amp;H$115&amp;":"&amp;$R$114)</f>
        <v>#</v>
      </c>
      <c r="W355" s="82" t="str">
        <f>_xll.BLUEMATRIX2("/servlet/excelData",I355,$B$1,$B355&amp;":"&amp;I$115&amp;":"&amp;$R$114)</f>
        <v>#</v>
      </c>
      <c r="X355" s="82" t="str">
        <f>_xll.BLUEMATRIX2("/servlet/excelData",J355,$B$1,$B355&amp;":"&amp;J$115&amp;":"&amp;$R$114)</f>
        <v>#</v>
      </c>
      <c r="Y355" s="82" t="str">
        <f>_xll.BLUEMATRIX2("/servlet/excelData",K355,$B$1,$B355&amp;":"&amp;K$115&amp;":"&amp;$R$114)</f>
        <v>#</v>
      </c>
      <c r="Z355" s="82" t="str">
        <f>_xll.BLUEMATRIX2("/servlet/excelData",L355,$B$1,$B355&amp;":"&amp;L$115&amp;":"&amp;$R$114)</f>
        <v>#</v>
      </c>
      <c r="AA355" s="82" t="str">
        <f>_xll.BLUEMATRIX2("/servlet/excelData",M355,$B$1,$B355&amp;":"&amp;M$115&amp;":"&amp;$R$114)</f>
        <v>#</v>
      </c>
      <c r="AB355" s="82" t="str">
        <f>_xll.BLUEMATRIX2("/servlet/excelData",N355,$B$1,$B355&amp;":"&amp;N$115&amp;":"&amp;$R$114)</f>
        <v>#</v>
      </c>
      <c r="AC355" s="82" t="str">
        <f>_xll.BLUEMATRIX2("/servlet/excelData",O355,$B$1,$B355&amp;":"&amp;O$115&amp;":"&amp;$R$114)</f>
        <v>#</v>
      </c>
      <c r="AD355" s="82" t="str">
        <f>_xll.BLUEMATRIX2("/servlet/excelData",P355,$B$1,$B355&amp;":"&amp;P$115&amp;":"&amp;$R$114)</f>
        <v>#</v>
      </c>
      <c r="AE355" s="82" t="str">
        <f>_xll.BLUEMATRIX2("/servlet/excelData",Q355,$B$1,$B355&amp;":"&amp;Q$115&amp;":"&amp;$R$114)</f>
        <v>#</v>
      </c>
    </row>
    <row r="356" spans="1:31" ht="12.95" customHeight="1" x14ac:dyDescent="0.2">
      <c r="A356" s="26" t="s">
        <v>1116</v>
      </c>
      <c r="B356" s="29" t="s">
        <v>1117</v>
      </c>
      <c r="C356" s="190"/>
      <c r="D356" s="111"/>
      <c r="E356" s="111"/>
      <c r="F356" s="111"/>
      <c r="G356" s="111"/>
      <c r="H356" s="111"/>
      <c r="I356" s="111"/>
      <c r="J356" s="111"/>
      <c r="K356" s="111"/>
      <c r="L356" s="111"/>
      <c r="M356" s="111"/>
      <c r="N356" s="111"/>
      <c r="O356" s="111"/>
      <c r="P356" s="111"/>
      <c r="Q356" s="111"/>
      <c r="R356" s="191"/>
      <c r="S356" s="82" t="str">
        <f>_xll.BLUEMATRIX2("/servlet/excelData",E356,$B$1,$B356&amp;":"&amp;E$115&amp;":"&amp;$R$114)</f>
        <v>#</v>
      </c>
      <c r="T356" s="82" t="str">
        <f>_xll.BLUEMATRIX2("/servlet/excelData",F356,$B$1,$B356&amp;":"&amp;F$115&amp;":"&amp;$R$114)</f>
        <v>#</v>
      </c>
      <c r="U356" s="82" t="str">
        <f>_xll.BLUEMATRIX2("/servlet/excelData",G356,$B$1,$B356&amp;":"&amp;G$115&amp;":"&amp;$R$114)</f>
        <v>#</v>
      </c>
      <c r="V356" s="82" t="str">
        <f>_xll.BLUEMATRIX2("/servlet/excelData",H356,$B$1,$B356&amp;":"&amp;H$115&amp;":"&amp;$R$114)</f>
        <v>#</v>
      </c>
      <c r="W356" s="82" t="str">
        <f>_xll.BLUEMATRIX2("/servlet/excelData",I356,$B$1,$B356&amp;":"&amp;I$115&amp;":"&amp;$R$114)</f>
        <v>#</v>
      </c>
      <c r="X356" s="82" t="str">
        <f>_xll.BLUEMATRIX2("/servlet/excelData",J356,$B$1,$B356&amp;":"&amp;J$115&amp;":"&amp;$R$114)</f>
        <v>#</v>
      </c>
      <c r="Y356" s="82" t="str">
        <f>_xll.BLUEMATRIX2("/servlet/excelData",K356,$B$1,$B356&amp;":"&amp;K$115&amp;":"&amp;$R$114)</f>
        <v>#</v>
      </c>
      <c r="Z356" s="82" t="str">
        <f>_xll.BLUEMATRIX2("/servlet/excelData",L356,$B$1,$B356&amp;":"&amp;L$115&amp;":"&amp;$R$114)</f>
        <v>#</v>
      </c>
      <c r="AA356" s="82" t="str">
        <f>_xll.BLUEMATRIX2("/servlet/excelData",M356,$B$1,$B356&amp;":"&amp;M$115&amp;":"&amp;$R$114)</f>
        <v>#</v>
      </c>
      <c r="AB356" s="82" t="str">
        <f>_xll.BLUEMATRIX2("/servlet/excelData",N356,$B$1,$B356&amp;":"&amp;N$115&amp;":"&amp;$R$114)</f>
        <v>#</v>
      </c>
      <c r="AC356" s="82" t="str">
        <f>_xll.BLUEMATRIX2("/servlet/excelData",O356,$B$1,$B356&amp;":"&amp;O$115&amp;":"&amp;$R$114)</f>
        <v>#</v>
      </c>
      <c r="AD356" s="82" t="str">
        <f>_xll.BLUEMATRIX2("/servlet/excelData",P356,$B$1,$B356&amp;":"&amp;P$115&amp;":"&amp;$R$114)</f>
        <v>#</v>
      </c>
      <c r="AE356" s="82" t="str">
        <f>_xll.BLUEMATRIX2("/servlet/excelData",Q356,$B$1,$B356&amp;":"&amp;Q$115&amp;":"&amp;$R$114)</f>
        <v>#</v>
      </c>
    </row>
    <row r="357" spans="1:31" ht="12.95" customHeight="1" x14ac:dyDescent="0.2">
      <c r="A357" s="26" t="s">
        <v>1118</v>
      </c>
      <c r="B357" s="29" t="s">
        <v>1119</v>
      </c>
      <c r="C357" s="190"/>
      <c r="D357" s="111"/>
      <c r="E357" s="111"/>
      <c r="F357" s="111"/>
      <c r="G357" s="111"/>
      <c r="H357" s="111"/>
      <c r="I357" s="111"/>
      <c r="J357" s="111"/>
      <c r="K357" s="111"/>
      <c r="L357" s="111"/>
      <c r="M357" s="111"/>
      <c r="N357" s="111"/>
      <c r="O357" s="111"/>
      <c r="P357" s="111"/>
      <c r="Q357" s="111"/>
      <c r="R357" s="191"/>
      <c r="S357" s="82" t="str">
        <f>_xll.BLUEMATRIX2("/servlet/excelData",E357,$B$1,$B357&amp;":"&amp;E$115&amp;":"&amp;$R$114)</f>
        <v>#</v>
      </c>
      <c r="T357" s="82" t="str">
        <f>_xll.BLUEMATRIX2("/servlet/excelData",F357,$B$1,$B357&amp;":"&amp;F$115&amp;":"&amp;$R$114)</f>
        <v>#</v>
      </c>
      <c r="U357" s="82" t="str">
        <f>_xll.BLUEMATRIX2("/servlet/excelData",G357,$B$1,$B357&amp;":"&amp;G$115&amp;":"&amp;$R$114)</f>
        <v>#</v>
      </c>
      <c r="V357" s="82" t="str">
        <f>_xll.BLUEMATRIX2("/servlet/excelData",H357,$B$1,$B357&amp;":"&amp;H$115&amp;":"&amp;$R$114)</f>
        <v>#</v>
      </c>
      <c r="W357" s="82" t="str">
        <f>_xll.BLUEMATRIX2("/servlet/excelData",I357,$B$1,$B357&amp;":"&amp;I$115&amp;":"&amp;$R$114)</f>
        <v>#</v>
      </c>
      <c r="X357" s="82" t="str">
        <f>_xll.BLUEMATRIX2("/servlet/excelData",J357,$B$1,$B357&amp;":"&amp;J$115&amp;":"&amp;$R$114)</f>
        <v>#</v>
      </c>
      <c r="Y357" s="82" t="str">
        <f>_xll.BLUEMATRIX2("/servlet/excelData",K357,$B$1,$B357&amp;":"&amp;K$115&amp;":"&amp;$R$114)</f>
        <v>#</v>
      </c>
      <c r="Z357" s="82" t="str">
        <f>_xll.BLUEMATRIX2("/servlet/excelData",L357,$B$1,$B357&amp;":"&amp;L$115&amp;":"&amp;$R$114)</f>
        <v>#</v>
      </c>
      <c r="AA357" s="82" t="str">
        <f>_xll.BLUEMATRIX2("/servlet/excelData",M357,$B$1,$B357&amp;":"&amp;M$115&amp;":"&amp;$R$114)</f>
        <v>#</v>
      </c>
      <c r="AB357" s="82" t="str">
        <f>_xll.BLUEMATRIX2("/servlet/excelData",N357,$B$1,$B357&amp;":"&amp;N$115&amp;":"&amp;$R$114)</f>
        <v>#</v>
      </c>
      <c r="AC357" s="82" t="str">
        <f>_xll.BLUEMATRIX2("/servlet/excelData",O357,$B$1,$B357&amp;":"&amp;O$115&amp;":"&amp;$R$114)</f>
        <v>#</v>
      </c>
      <c r="AD357" s="82" t="str">
        <f>_xll.BLUEMATRIX2("/servlet/excelData",P357,$B$1,$B357&amp;":"&amp;P$115&amp;":"&amp;$R$114)</f>
        <v>#</v>
      </c>
      <c r="AE357" s="82" t="str">
        <f>_xll.BLUEMATRIX2("/servlet/excelData",Q357,$B$1,$B357&amp;":"&amp;Q$115&amp;":"&amp;$R$114)</f>
        <v>#</v>
      </c>
    </row>
    <row r="358" spans="1:31" ht="12.95" customHeight="1" x14ac:dyDescent="0.2">
      <c r="A358" s="26" t="s">
        <v>1120</v>
      </c>
      <c r="B358" s="29" t="s">
        <v>1121</v>
      </c>
      <c r="C358" s="190"/>
      <c r="D358" s="111"/>
      <c r="E358" s="111"/>
      <c r="F358" s="111"/>
      <c r="G358" s="111"/>
      <c r="H358" s="111"/>
      <c r="I358" s="111"/>
      <c r="J358" s="111"/>
      <c r="K358" s="111"/>
      <c r="L358" s="111"/>
      <c r="M358" s="111"/>
      <c r="N358" s="111"/>
      <c r="O358" s="111"/>
      <c r="P358" s="111"/>
      <c r="Q358" s="111"/>
      <c r="R358" s="191"/>
      <c r="S358" s="82" t="str">
        <f>_xll.BLUEMATRIX2("/servlet/excelData",E358,$B$1,$B358&amp;":"&amp;E$115&amp;":"&amp;$R$114)</f>
        <v>#</v>
      </c>
      <c r="T358" s="82" t="str">
        <f>_xll.BLUEMATRIX2("/servlet/excelData",F358,$B$1,$B358&amp;":"&amp;F$115&amp;":"&amp;$R$114)</f>
        <v>#</v>
      </c>
      <c r="U358" s="82" t="str">
        <f>_xll.BLUEMATRIX2("/servlet/excelData",G358,$B$1,$B358&amp;":"&amp;G$115&amp;":"&amp;$R$114)</f>
        <v>#</v>
      </c>
      <c r="V358" s="82" t="str">
        <f>_xll.BLUEMATRIX2("/servlet/excelData",H358,$B$1,$B358&amp;":"&amp;H$115&amp;":"&amp;$R$114)</f>
        <v>#</v>
      </c>
      <c r="W358" s="82" t="str">
        <f>_xll.BLUEMATRIX2("/servlet/excelData",I358,$B$1,$B358&amp;":"&amp;I$115&amp;":"&amp;$R$114)</f>
        <v>#</v>
      </c>
      <c r="X358" s="82" t="str">
        <f>_xll.BLUEMATRIX2("/servlet/excelData",J358,$B$1,$B358&amp;":"&amp;J$115&amp;":"&amp;$R$114)</f>
        <v>#</v>
      </c>
      <c r="Y358" s="82" t="str">
        <f>_xll.BLUEMATRIX2("/servlet/excelData",K358,$B$1,$B358&amp;":"&amp;K$115&amp;":"&amp;$R$114)</f>
        <v>#</v>
      </c>
      <c r="Z358" s="82" t="str">
        <f>_xll.BLUEMATRIX2("/servlet/excelData",L358,$B$1,$B358&amp;":"&amp;L$115&amp;":"&amp;$R$114)</f>
        <v>#</v>
      </c>
      <c r="AA358" s="82" t="str">
        <f>_xll.BLUEMATRIX2("/servlet/excelData",M358,$B$1,$B358&amp;":"&amp;M$115&amp;":"&amp;$R$114)</f>
        <v>#</v>
      </c>
      <c r="AB358" s="82" t="str">
        <f>_xll.BLUEMATRIX2("/servlet/excelData",N358,$B$1,$B358&amp;":"&amp;N$115&amp;":"&amp;$R$114)</f>
        <v>#</v>
      </c>
      <c r="AC358" s="82" t="str">
        <f>_xll.BLUEMATRIX2("/servlet/excelData",O358,$B$1,$B358&amp;":"&amp;O$115&amp;":"&amp;$R$114)</f>
        <v>#</v>
      </c>
      <c r="AD358" s="82" t="str">
        <f>_xll.BLUEMATRIX2("/servlet/excelData",P358,$B$1,$B358&amp;":"&amp;P$115&amp;":"&amp;$R$114)</f>
        <v>#</v>
      </c>
      <c r="AE358" s="82" t="str">
        <f>_xll.BLUEMATRIX2("/servlet/excelData",Q358,$B$1,$B358&amp;":"&amp;Q$115&amp;":"&amp;$R$114)</f>
        <v>#</v>
      </c>
    </row>
    <row r="359" spans="1:31" ht="12.95" customHeight="1" x14ac:dyDescent="0.2">
      <c r="A359" s="26" t="s">
        <v>1122</v>
      </c>
      <c r="B359" s="29" t="s">
        <v>1123</v>
      </c>
      <c r="C359" s="190"/>
      <c r="D359" s="111"/>
      <c r="E359" s="111"/>
      <c r="F359" s="111"/>
      <c r="G359" s="111"/>
      <c r="H359" s="111"/>
      <c r="I359" s="111"/>
      <c r="J359" s="111"/>
      <c r="K359" s="111"/>
      <c r="L359" s="111"/>
      <c r="M359" s="111"/>
      <c r="N359" s="111"/>
      <c r="O359" s="111"/>
      <c r="P359" s="111"/>
      <c r="Q359" s="111"/>
      <c r="R359" s="191"/>
      <c r="S359" s="82" t="str">
        <f>_xll.BLUEMATRIX2("/servlet/excelData",E359,$B$1,$B359&amp;":"&amp;E$115&amp;":"&amp;$R$114)</f>
        <v>#</v>
      </c>
      <c r="T359" s="82" t="str">
        <f>_xll.BLUEMATRIX2("/servlet/excelData",F359,$B$1,$B359&amp;":"&amp;F$115&amp;":"&amp;$R$114)</f>
        <v>#</v>
      </c>
      <c r="U359" s="82" t="str">
        <f>_xll.BLUEMATRIX2("/servlet/excelData",G359,$B$1,$B359&amp;":"&amp;G$115&amp;":"&amp;$R$114)</f>
        <v>#</v>
      </c>
      <c r="V359" s="82" t="str">
        <f>_xll.BLUEMATRIX2("/servlet/excelData",H359,$B$1,$B359&amp;":"&amp;H$115&amp;":"&amp;$R$114)</f>
        <v>#</v>
      </c>
      <c r="W359" s="82" t="str">
        <f>_xll.BLUEMATRIX2("/servlet/excelData",I359,$B$1,$B359&amp;":"&amp;I$115&amp;":"&amp;$R$114)</f>
        <v>#</v>
      </c>
      <c r="X359" s="82" t="str">
        <f>_xll.BLUEMATRIX2("/servlet/excelData",J359,$B$1,$B359&amp;":"&amp;J$115&amp;":"&amp;$R$114)</f>
        <v>#</v>
      </c>
      <c r="Y359" s="82" t="str">
        <f>_xll.BLUEMATRIX2("/servlet/excelData",K359,$B$1,$B359&amp;":"&amp;K$115&amp;":"&amp;$R$114)</f>
        <v>#</v>
      </c>
      <c r="Z359" s="82" t="str">
        <f>_xll.BLUEMATRIX2("/servlet/excelData",L359,$B$1,$B359&amp;":"&amp;L$115&amp;":"&amp;$R$114)</f>
        <v>#</v>
      </c>
      <c r="AA359" s="82" t="str">
        <f>_xll.BLUEMATRIX2("/servlet/excelData",M359,$B$1,$B359&amp;":"&amp;M$115&amp;":"&amp;$R$114)</f>
        <v>#</v>
      </c>
      <c r="AB359" s="82" t="str">
        <f>_xll.BLUEMATRIX2("/servlet/excelData",N359,$B$1,$B359&amp;":"&amp;N$115&amp;":"&amp;$R$114)</f>
        <v>#</v>
      </c>
      <c r="AC359" s="82" t="str">
        <f>_xll.BLUEMATRIX2("/servlet/excelData",O359,$B$1,$B359&amp;":"&amp;O$115&amp;":"&amp;$R$114)</f>
        <v>#</v>
      </c>
      <c r="AD359" s="82" t="str">
        <f>_xll.BLUEMATRIX2("/servlet/excelData",P359,$B$1,$B359&amp;":"&amp;P$115&amp;":"&amp;$R$114)</f>
        <v>#</v>
      </c>
      <c r="AE359" s="82" t="str">
        <f>_xll.BLUEMATRIX2("/servlet/excelData",Q359,$B$1,$B359&amp;":"&amp;Q$115&amp;":"&amp;$R$114)</f>
        <v>#</v>
      </c>
    </row>
    <row r="360" spans="1:31" ht="12.95" customHeight="1" x14ac:dyDescent="0.2">
      <c r="A360" s="26"/>
      <c r="B360" s="29"/>
      <c r="C360" s="164"/>
      <c r="D360" s="192"/>
      <c r="E360" s="192"/>
      <c r="F360" s="192"/>
      <c r="G360" s="192"/>
      <c r="H360" s="192"/>
      <c r="I360" s="192"/>
      <c r="J360" s="192"/>
      <c r="K360" s="192"/>
      <c r="L360" s="192"/>
      <c r="M360" s="192"/>
      <c r="N360" s="192"/>
      <c r="O360" s="192"/>
      <c r="P360" s="192"/>
      <c r="Q360" s="192"/>
      <c r="R360" s="191"/>
      <c r="S360" s="82"/>
      <c r="T360" s="82"/>
      <c r="U360" s="82"/>
      <c r="V360" s="82"/>
      <c r="W360" s="82"/>
      <c r="X360" s="82"/>
      <c r="Y360" s="82"/>
      <c r="Z360" s="82"/>
      <c r="AA360" s="82"/>
      <c r="AB360" s="82"/>
      <c r="AC360" s="82"/>
      <c r="AD360" s="82"/>
      <c r="AE360" s="82"/>
    </row>
    <row r="361" spans="1:31" ht="12.95" customHeight="1" x14ac:dyDescent="0.2">
      <c r="A361" s="26"/>
      <c r="B361" s="29"/>
      <c r="C361" s="1"/>
      <c r="D361" s="1"/>
      <c r="E361" s="1"/>
      <c r="F361" s="1"/>
      <c r="G361" s="1"/>
      <c r="H361" s="1"/>
      <c r="I361" s="1"/>
      <c r="J361" s="1"/>
      <c r="K361" s="1"/>
      <c r="L361" s="1"/>
      <c r="M361" s="1"/>
      <c r="N361" s="1"/>
      <c r="O361" s="1"/>
      <c r="P361" s="1"/>
      <c r="Q361" s="1"/>
      <c r="R361" s="1"/>
      <c r="S361" s="82"/>
      <c r="T361" s="82"/>
      <c r="U361" s="82"/>
      <c r="V361" s="82"/>
      <c r="W361" s="82"/>
      <c r="X361" s="82"/>
      <c r="Y361" s="82"/>
      <c r="Z361" s="82"/>
      <c r="AA361" s="82"/>
      <c r="AB361" s="82"/>
      <c r="AC361" s="82"/>
      <c r="AD361" s="82"/>
      <c r="AE361" s="82"/>
    </row>
    <row r="362" spans="1:31" ht="12.95" customHeight="1" x14ac:dyDescent="0.2">
      <c r="A362" s="26"/>
      <c r="B362" s="29"/>
      <c r="C362" s="1"/>
      <c r="D362" s="1"/>
      <c r="E362" s="1"/>
      <c r="F362" s="1"/>
      <c r="G362" s="1"/>
      <c r="H362" s="1"/>
      <c r="I362" s="1"/>
      <c r="J362" s="1"/>
      <c r="K362" s="1"/>
      <c r="L362" s="1"/>
      <c r="M362" s="1"/>
      <c r="N362" s="1"/>
      <c r="O362" s="1"/>
      <c r="P362" s="1"/>
      <c r="Q362" s="1"/>
      <c r="R362" s="1"/>
      <c r="S362" s="82"/>
      <c r="T362" s="82"/>
      <c r="U362" s="82"/>
      <c r="V362" s="82"/>
      <c r="W362" s="82"/>
      <c r="X362" s="82"/>
      <c r="Y362" s="82"/>
      <c r="Z362" s="82"/>
      <c r="AA362" s="82"/>
      <c r="AB362" s="82"/>
      <c r="AC362" s="82"/>
      <c r="AD362" s="82"/>
      <c r="AE362" s="82"/>
    </row>
    <row r="363" spans="1:31" ht="15" customHeight="1" x14ac:dyDescent="0.2">
      <c r="A363" s="26"/>
      <c r="B363" s="29"/>
      <c r="C363" s="107" t="s">
        <v>1124</v>
      </c>
      <c r="D363" s="108"/>
      <c r="E363" s="108"/>
      <c r="F363" s="108"/>
      <c r="G363" s="108"/>
      <c r="H363" s="108"/>
      <c r="I363" s="108"/>
      <c r="J363" s="108"/>
      <c r="K363" s="108"/>
      <c r="L363" s="108"/>
      <c r="M363" s="108"/>
      <c r="N363" s="108"/>
      <c r="O363" s="108"/>
      <c r="P363" s="108"/>
      <c r="Q363" s="108"/>
      <c r="R363" s="1"/>
      <c r="S363" s="82"/>
      <c r="T363" s="82"/>
      <c r="U363" s="82"/>
      <c r="V363" s="82"/>
      <c r="W363" s="82"/>
      <c r="X363" s="82"/>
      <c r="Y363" s="82"/>
      <c r="Z363" s="82"/>
      <c r="AA363" s="82"/>
      <c r="AB363" s="82"/>
      <c r="AC363" s="82"/>
      <c r="AD363" s="82"/>
      <c r="AE363" s="82"/>
    </row>
    <row r="364" spans="1:31" ht="12.95" customHeight="1" x14ac:dyDescent="0.2">
      <c r="A364" s="26" t="s">
        <v>1125</v>
      </c>
      <c r="B364" s="29" t="s">
        <v>1126</v>
      </c>
      <c r="C364" s="59" t="str">
        <f t="shared" ref="C364:C373" si="74">IF(D79="","",D79)</f>
        <v/>
      </c>
      <c r="D364" s="111"/>
      <c r="E364" s="111"/>
      <c r="F364" s="111"/>
      <c r="G364" s="111"/>
      <c r="H364" s="111"/>
      <c r="I364" s="111"/>
      <c r="J364" s="111"/>
      <c r="K364" s="111"/>
      <c r="L364" s="111"/>
      <c r="M364" s="111"/>
      <c r="N364" s="111"/>
      <c r="O364" s="111"/>
      <c r="P364" s="111"/>
      <c r="Q364" s="111"/>
      <c r="R364" s="1"/>
      <c r="S364" s="82" t="str">
        <f>_xll.BLUEMATRIX2("/servlet/excelData",E364,$B$1,$B364&amp;":"&amp;E$115&amp;":"&amp;$R$114)</f>
        <v>#</v>
      </c>
      <c r="T364" s="82" t="str">
        <f>_xll.BLUEMATRIX2("/servlet/excelData",F364,$B$1,$B364&amp;":"&amp;F$115&amp;":"&amp;$R$114)</f>
        <v>#</v>
      </c>
      <c r="U364" s="82" t="str">
        <f>_xll.BLUEMATRIX2("/servlet/excelData",G364,$B$1,$B364&amp;":"&amp;G$115&amp;":"&amp;$R$114)</f>
        <v>#</v>
      </c>
      <c r="V364" s="82" t="str">
        <f>_xll.BLUEMATRIX2("/servlet/excelData",H364,$B$1,$B364&amp;":"&amp;H$115&amp;":"&amp;$R$114)</f>
        <v>#</v>
      </c>
      <c r="W364" s="82" t="str">
        <f>_xll.BLUEMATRIX2("/servlet/excelData",I364,$B$1,$B364&amp;":"&amp;I$115&amp;":"&amp;$R$114)</f>
        <v>#</v>
      </c>
      <c r="X364" s="82" t="str">
        <f>_xll.BLUEMATRIX2("/servlet/excelData",J364,$B$1,$B364&amp;":"&amp;J$115&amp;":"&amp;$R$114)</f>
        <v>#</v>
      </c>
      <c r="Y364" s="82" t="str">
        <f>_xll.BLUEMATRIX2("/servlet/excelData",K364,$B$1,$B364&amp;":"&amp;K$115&amp;":"&amp;$R$114)</f>
        <v>#</v>
      </c>
      <c r="Z364" s="82" t="str">
        <f>_xll.BLUEMATRIX2("/servlet/excelData",L364,$B$1,$B364&amp;":"&amp;L$115&amp;":"&amp;$R$114)</f>
        <v>#</v>
      </c>
      <c r="AA364" s="82" t="str">
        <f>_xll.BLUEMATRIX2("/servlet/excelData",M364,$B$1,$B364&amp;":"&amp;M$115&amp;":"&amp;$R$114)</f>
        <v>#</v>
      </c>
      <c r="AB364" s="82" t="str">
        <f>_xll.BLUEMATRIX2("/servlet/excelData",N364,$B$1,$B364&amp;":"&amp;N$115&amp;":"&amp;$R$114)</f>
        <v>#</v>
      </c>
      <c r="AC364" s="82" t="str">
        <f>_xll.BLUEMATRIX2("/servlet/excelData",O364,$B$1,$B364&amp;":"&amp;O$115&amp;":"&amp;$R$114)</f>
        <v>#</v>
      </c>
      <c r="AD364" s="82" t="str">
        <f>_xll.BLUEMATRIX2("/servlet/excelData",P364,$B$1,$B364&amp;":"&amp;P$115&amp;":"&amp;$R$114)</f>
        <v>#</v>
      </c>
      <c r="AE364" s="82" t="str">
        <f>_xll.BLUEMATRIX2("/servlet/excelData",Q364,$B$1,$B364&amp;":"&amp;Q$115&amp;":"&amp;$R$114)</f>
        <v>#</v>
      </c>
    </row>
    <row r="365" spans="1:31" ht="12.95" customHeight="1" x14ac:dyDescent="0.2">
      <c r="A365" s="26" t="s">
        <v>1127</v>
      </c>
      <c r="B365" s="29" t="s">
        <v>1128</v>
      </c>
      <c r="C365" s="190" t="str">
        <f t="shared" si="74"/>
        <v/>
      </c>
      <c r="D365" s="111"/>
      <c r="E365" s="111"/>
      <c r="F365" s="111"/>
      <c r="G365" s="111"/>
      <c r="H365" s="111"/>
      <c r="I365" s="111"/>
      <c r="J365" s="111"/>
      <c r="K365" s="111"/>
      <c r="L365" s="111"/>
      <c r="M365" s="111"/>
      <c r="N365" s="111"/>
      <c r="O365" s="111"/>
      <c r="P365" s="111"/>
      <c r="Q365" s="111"/>
      <c r="R365" s="1"/>
      <c r="S365" s="82" t="str">
        <f>_xll.BLUEMATRIX2("/servlet/excelData",E365,$B$1,$B365&amp;":"&amp;E$115&amp;":"&amp;$R$114)</f>
        <v>#</v>
      </c>
      <c r="T365" s="82" t="str">
        <f>_xll.BLUEMATRIX2("/servlet/excelData",F365,$B$1,$B365&amp;":"&amp;F$115&amp;":"&amp;$R$114)</f>
        <v>#</v>
      </c>
      <c r="U365" s="82" t="str">
        <f>_xll.BLUEMATRIX2("/servlet/excelData",G365,$B$1,$B365&amp;":"&amp;G$115&amp;":"&amp;$R$114)</f>
        <v>#</v>
      </c>
      <c r="V365" s="82" t="str">
        <f>_xll.BLUEMATRIX2("/servlet/excelData",H365,$B$1,$B365&amp;":"&amp;H$115&amp;":"&amp;$R$114)</f>
        <v>#</v>
      </c>
      <c r="W365" s="82" t="str">
        <f>_xll.BLUEMATRIX2("/servlet/excelData",I365,$B$1,$B365&amp;":"&amp;I$115&amp;":"&amp;$R$114)</f>
        <v>#</v>
      </c>
      <c r="X365" s="82" t="str">
        <f>_xll.BLUEMATRIX2("/servlet/excelData",J365,$B$1,$B365&amp;":"&amp;J$115&amp;":"&amp;$R$114)</f>
        <v>#</v>
      </c>
      <c r="Y365" s="82" t="str">
        <f>_xll.BLUEMATRIX2("/servlet/excelData",K365,$B$1,$B365&amp;":"&amp;K$115&amp;":"&amp;$R$114)</f>
        <v>#</v>
      </c>
      <c r="Z365" s="82" t="str">
        <f>_xll.BLUEMATRIX2("/servlet/excelData",L365,$B$1,$B365&amp;":"&amp;L$115&amp;":"&amp;$R$114)</f>
        <v>#</v>
      </c>
      <c r="AA365" s="82" t="str">
        <f>_xll.BLUEMATRIX2("/servlet/excelData",M365,$B$1,$B365&amp;":"&amp;M$115&amp;":"&amp;$R$114)</f>
        <v>#</v>
      </c>
      <c r="AB365" s="82" t="str">
        <f>_xll.BLUEMATRIX2("/servlet/excelData",N365,$B$1,$B365&amp;":"&amp;N$115&amp;":"&amp;$R$114)</f>
        <v>#</v>
      </c>
      <c r="AC365" s="82" t="str">
        <f>_xll.BLUEMATRIX2("/servlet/excelData",O365,$B$1,$B365&amp;":"&amp;O$115&amp;":"&amp;$R$114)</f>
        <v>#</v>
      </c>
      <c r="AD365" s="82" t="str">
        <f>_xll.BLUEMATRIX2("/servlet/excelData",P365,$B$1,$B365&amp;":"&amp;P$115&amp;":"&amp;$R$114)</f>
        <v>#</v>
      </c>
      <c r="AE365" s="82" t="str">
        <f>_xll.BLUEMATRIX2("/servlet/excelData",Q365,$B$1,$B365&amp;":"&amp;Q$115&amp;":"&amp;$R$114)</f>
        <v>#</v>
      </c>
    </row>
    <row r="366" spans="1:31" ht="12.95" customHeight="1" x14ac:dyDescent="0.2">
      <c r="A366" s="26" t="s">
        <v>1129</v>
      </c>
      <c r="B366" s="29" t="s">
        <v>1130</v>
      </c>
      <c r="C366" s="190" t="str">
        <f t="shared" si="74"/>
        <v/>
      </c>
      <c r="D366" s="111"/>
      <c r="E366" s="111"/>
      <c r="F366" s="111"/>
      <c r="G366" s="111"/>
      <c r="H366" s="111"/>
      <c r="I366" s="111"/>
      <c r="J366" s="111"/>
      <c r="K366" s="111"/>
      <c r="L366" s="111"/>
      <c r="M366" s="111"/>
      <c r="N366" s="111"/>
      <c r="O366" s="111"/>
      <c r="P366" s="111"/>
      <c r="Q366" s="111"/>
      <c r="R366" s="1"/>
      <c r="S366" s="82" t="str">
        <f>_xll.BLUEMATRIX2("/servlet/excelData",E366,$B$1,$B366&amp;":"&amp;E$115&amp;":"&amp;$R$114)</f>
        <v>#</v>
      </c>
      <c r="T366" s="82" t="str">
        <f>_xll.BLUEMATRIX2("/servlet/excelData",F366,$B$1,$B366&amp;":"&amp;F$115&amp;":"&amp;$R$114)</f>
        <v>#</v>
      </c>
      <c r="U366" s="82" t="str">
        <f>_xll.BLUEMATRIX2("/servlet/excelData",G366,$B$1,$B366&amp;":"&amp;G$115&amp;":"&amp;$R$114)</f>
        <v>#</v>
      </c>
      <c r="V366" s="82" t="str">
        <f>_xll.BLUEMATRIX2("/servlet/excelData",H366,$B$1,$B366&amp;":"&amp;H$115&amp;":"&amp;$R$114)</f>
        <v>#</v>
      </c>
      <c r="W366" s="82" t="str">
        <f>_xll.BLUEMATRIX2("/servlet/excelData",I366,$B$1,$B366&amp;":"&amp;I$115&amp;":"&amp;$R$114)</f>
        <v>#</v>
      </c>
      <c r="X366" s="82" t="str">
        <f>_xll.BLUEMATRIX2("/servlet/excelData",J366,$B$1,$B366&amp;":"&amp;J$115&amp;":"&amp;$R$114)</f>
        <v>#</v>
      </c>
      <c r="Y366" s="82" t="str">
        <f>_xll.BLUEMATRIX2("/servlet/excelData",K366,$B$1,$B366&amp;":"&amp;K$115&amp;":"&amp;$R$114)</f>
        <v>#</v>
      </c>
      <c r="Z366" s="82" t="str">
        <f>_xll.BLUEMATRIX2("/servlet/excelData",L366,$B$1,$B366&amp;":"&amp;L$115&amp;":"&amp;$R$114)</f>
        <v>#</v>
      </c>
      <c r="AA366" s="82" t="str">
        <f>_xll.BLUEMATRIX2("/servlet/excelData",M366,$B$1,$B366&amp;":"&amp;M$115&amp;":"&amp;$R$114)</f>
        <v>#</v>
      </c>
      <c r="AB366" s="82" t="str">
        <f>_xll.BLUEMATRIX2("/servlet/excelData",N366,$B$1,$B366&amp;":"&amp;N$115&amp;":"&amp;$R$114)</f>
        <v>#</v>
      </c>
      <c r="AC366" s="82" t="str">
        <f>_xll.BLUEMATRIX2("/servlet/excelData",O366,$B$1,$B366&amp;":"&amp;O$115&amp;":"&amp;$R$114)</f>
        <v>#</v>
      </c>
      <c r="AD366" s="82" t="str">
        <f>_xll.BLUEMATRIX2("/servlet/excelData",P366,$B$1,$B366&amp;":"&amp;P$115&amp;":"&amp;$R$114)</f>
        <v>#</v>
      </c>
      <c r="AE366" s="82" t="str">
        <f>_xll.BLUEMATRIX2("/servlet/excelData",Q366,$B$1,$B366&amp;":"&amp;Q$115&amp;":"&amp;$R$114)</f>
        <v>#</v>
      </c>
    </row>
    <row r="367" spans="1:31" ht="12.95" customHeight="1" x14ac:dyDescent="0.2">
      <c r="A367" s="26" t="s">
        <v>1131</v>
      </c>
      <c r="B367" s="29" t="s">
        <v>1132</v>
      </c>
      <c r="C367" s="190" t="str">
        <f t="shared" si="74"/>
        <v/>
      </c>
      <c r="D367" s="111"/>
      <c r="E367" s="111"/>
      <c r="F367" s="111"/>
      <c r="G367" s="111"/>
      <c r="H367" s="111"/>
      <c r="I367" s="111"/>
      <c r="J367" s="111"/>
      <c r="K367" s="111"/>
      <c r="L367" s="111"/>
      <c r="M367" s="111"/>
      <c r="N367" s="111"/>
      <c r="O367" s="111"/>
      <c r="P367" s="111"/>
      <c r="Q367" s="111"/>
      <c r="R367" s="1"/>
      <c r="S367" s="82" t="str">
        <f>_xll.BLUEMATRIX2("/servlet/excelData",E367,$B$1,$B367&amp;":"&amp;E$115&amp;":"&amp;$R$114)</f>
        <v>#</v>
      </c>
      <c r="T367" s="82" t="str">
        <f>_xll.BLUEMATRIX2("/servlet/excelData",F367,$B$1,$B367&amp;":"&amp;F$115&amp;":"&amp;$R$114)</f>
        <v>#</v>
      </c>
      <c r="U367" s="82" t="str">
        <f>_xll.BLUEMATRIX2("/servlet/excelData",G367,$B$1,$B367&amp;":"&amp;G$115&amp;":"&amp;$R$114)</f>
        <v>#</v>
      </c>
      <c r="V367" s="82" t="str">
        <f>_xll.BLUEMATRIX2("/servlet/excelData",H367,$B$1,$B367&amp;":"&amp;H$115&amp;":"&amp;$R$114)</f>
        <v>#</v>
      </c>
      <c r="W367" s="82" t="str">
        <f>_xll.BLUEMATRIX2("/servlet/excelData",I367,$B$1,$B367&amp;":"&amp;I$115&amp;":"&amp;$R$114)</f>
        <v>#</v>
      </c>
      <c r="X367" s="82" t="str">
        <f>_xll.BLUEMATRIX2("/servlet/excelData",J367,$B$1,$B367&amp;":"&amp;J$115&amp;":"&amp;$R$114)</f>
        <v>#</v>
      </c>
      <c r="Y367" s="82" t="str">
        <f>_xll.BLUEMATRIX2("/servlet/excelData",K367,$B$1,$B367&amp;":"&amp;K$115&amp;":"&amp;$R$114)</f>
        <v>#</v>
      </c>
      <c r="Z367" s="82" t="str">
        <f>_xll.BLUEMATRIX2("/servlet/excelData",L367,$B$1,$B367&amp;":"&amp;L$115&amp;":"&amp;$R$114)</f>
        <v>#</v>
      </c>
      <c r="AA367" s="82" t="str">
        <f>_xll.BLUEMATRIX2("/servlet/excelData",M367,$B$1,$B367&amp;":"&amp;M$115&amp;":"&amp;$R$114)</f>
        <v>#</v>
      </c>
      <c r="AB367" s="82" t="str">
        <f>_xll.BLUEMATRIX2("/servlet/excelData",N367,$B$1,$B367&amp;":"&amp;N$115&amp;":"&amp;$R$114)</f>
        <v>#</v>
      </c>
      <c r="AC367" s="82" t="str">
        <f>_xll.BLUEMATRIX2("/servlet/excelData",O367,$B$1,$B367&amp;":"&amp;O$115&amp;":"&amp;$R$114)</f>
        <v>#</v>
      </c>
      <c r="AD367" s="82" t="str">
        <f>_xll.BLUEMATRIX2("/servlet/excelData",P367,$B$1,$B367&amp;":"&amp;P$115&amp;":"&amp;$R$114)</f>
        <v>#</v>
      </c>
      <c r="AE367" s="82" t="str">
        <f>_xll.BLUEMATRIX2("/servlet/excelData",Q367,$B$1,$B367&amp;":"&amp;Q$115&amp;":"&amp;$R$114)</f>
        <v>#</v>
      </c>
    </row>
    <row r="368" spans="1:31" ht="12.95" customHeight="1" x14ac:dyDescent="0.2">
      <c r="A368" s="26" t="s">
        <v>1133</v>
      </c>
      <c r="B368" s="29" t="s">
        <v>1134</v>
      </c>
      <c r="C368" s="190" t="str">
        <f t="shared" si="74"/>
        <v/>
      </c>
      <c r="D368" s="111"/>
      <c r="E368" s="111"/>
      <c r="F368" s="111"/>
      <c r="G368" s="111"/>
      <c r="H368" s="111"/>
      <c r="I368" s="111"/>
      <c r="J368" s="111"/>
      <c r="K368" s="111"/>
      <c r="L368" s="111"/>
      <c r="M368" s="111"/>
      <c r="N368" s="111"/>
      <c r="O368" s="111"/>
      <c r="P368" s="111"/>
      <c r="Q368" s="111"/>
      <c r="R368" s="1"/>
      <c r="S368" s="82" t="str">
        <f>_xll.BLUEMATRIX2("/servlet/excelData",E368,$B$1,$B368&amp;":"&amp;E$115&amp;":"&amp;$R$114)</f>
        <v>#</v>
      </c>
      <c r="T368" s="82" t="str">
        <f>_xll.BLUEMATRIX2("/servlet/excelData",F368,$B$1,$B368&amp;":"&amp;F$115&amp;":"&amp;$R$114)</f>
        <v>#</v>
      </c>
      <c r="U368" s="82" t="str">
        <f>_xll.BLUEMATRIX2("/servlet/excelData",G368,$B$1,$B368&amp;":"&amp;G$115&amp;":"&amp;$R$114)</f>
        <v>#</v>
      </c>
      <c r="V368" s="82" t="str">
        <f>_xll.BLUEMATRIX2("/servlet/excelData",H368,$B$1,$B368&amp;":"&amp;H$115&amp;":"&amp;$R$114)</f>
        <v>#</v>
      </c>
      <c r="W368" s="82" t="str">
        <f>_xll.BLUEMATRIX2("/servlet/excelData",I368,$B$1,$B368&amp;":"&amp;I$115&amp;":"&amp;$R$114)</f>
        <v>#</v>
      </c>
      <c r="X368" s="82" t="str">
        <f>_xll.BLUEMATRIX2("/servlet/excelData",J368,$B$1,$B368&amp;":"&amp;J$115&amp;":"&amp;$R$114)</f>
        <v>#</v>
      </c>
      <c r="Y368" s="82" t="str">
        <f>_xll.BLUEMATRIX2("/servlet/excelData",K368,$B$1,$B368&amp;":"&amp;K$115&amp;":"&amp;$R$114)</f>
        <v>#</v>
      </c>
      <c r="Z368" s="82" t="str">
        <f>_xll.BLUEMATRIX2("/servlet/excelData",L368,$B$1,$B368&amp;":"&amp;L$115&amp;":"&amp;$R$114)</f>
        <v>#</v>
      </c>
      <c r="AA368" s="82" t="str">
        <f>_xll.BLUEMATRIX2("/servlet/excelData",M368,$B$1,$B368&amp;":"&amp;M$115&amp;":"&amp;$R$114)</f>
        <v>#</v>
      </c>
      <c r="AB368" s="82" t="str">
        <f>_xll.BLUEMATRIX2("/servlet/excelData",N368,$B$1,$B368&amp;":"&amp;N$115&amp;":"&amp;$R$114)</f>
        <v>#</v>
      </c>
      <c r="AC368" s="82" t="str">
        <f>_xll.BLUEMATRIX2("/servlet/excelData",O368,$B$1,$B368&amp;":"&amp;O$115&amp;":"&amp;$R$114)</f>
        <v>#</v>
      </c>
      <c r="AD368" s="82" t="str">
        <f>_xll.BLUEMATRIX2("/servlet/excelData",P368,$B$1,$B368&amp;":"&amp;P$115&amp;":"&amp;$R$114)</f>
        <v>#</v>
      </c>
      <c r="AE368" s="82" t="str">
        <f>_xll.BLUEMATRIX2("/servlet/excelData",Q368,$B$1,$B368&amp;":"&amp;Q$115&amp;":"&amp;$R$114)</f>
        <v>#</v>
      </c>
    </row>
    <row r="369" spans="1:31" ht="12.95" customHeight="1" x14ac:dyDescent="0.2">
      <c r="A369" s="26" t="s">
        <v>1135</v>
      </c>
      <c r="B369" s="29" t="s">
        <v>1136</v>
      </c>
      <c r="C369" s="190" t="str">
        <f t="shared" si="74"/>
        <v/>
      </c>
      <c r="D369" s="111"/>
      <c r="E369" s="111"/>
      <c r="F369" s="111"/>
      <c r="G369" s="111"/>
      <c r="H369" s="111"/>
      <c r="I369" s="111"/>
      <c r="J369" s="111"/>
      <c r="K369" s="111"/>
      <c r="L369" s="111"/>
      <c r="M369" s="111"/>
      <c r="N369" s="111"/>
      <c r="O369" s="111"/>
      <c r="P369" s="111"/>
      <c r="Q369" s="111"/>
      <c r="R369" s="1"/>
      <c r="S369" s="82" t="str">
        <f>_xll.BLUEMATRIX2("/servlet/excelData",E369,$B$1,$B369&amp;":"&amp;E$115&amp;":"&amp;$R$114)</f>
        <v>#</v>
      </c>
      <c r="T369" s="82" t="str">
        <f>_xll.BLUEMATRIX2("/servlet/excelData",F369,$B$1,$B369&amp;":"&amp;F$115&amp;":"&amp;$R$114)</f>
        <v>#</v>
      </c>
      <c r="U369" s="82" t="str">
        <f>_xll.BLUEMATRIX2("/servlet/excelData",G369,$B$1,$B369&amp;":"&amp;G$115&amp;":"&amp;$R$114)</f>
        <v>#</v>
      </c>
      <c r="V369" s="82" t="str">
        <f>_xll.BLUEMATRIX2("/servlet/excelData",H369,$B$1,$B369&amp;":"&amp;H$115&amp;":"&amp;$R$114)</f>
        <v>#</v>
      </c>
      <c r="W369" s="82" t="str">
        <f>_xll.BLUEMATRIX2("/servlet/excelData",I369,$B$1,$B369&amp;":"&amp;I$115&amp;":"&amp;$R$114)</f>
        <v>#</v>
      </c>
      <c r="X369" s="82" t="str">
        <f>_xll.BLUEMATRIX2("/servlet/excelData",J369,$B$1,$B369&amp;":"&amp;J$115&amp;":"&amp;$R$114)</f>
        <v>#</v>
      </c>
      <c r="Y369" s="82" t="str">
        <f>_xll.BLUEMATRIX2("/servlet/excelData",K369,$B$1,$B369&amp;":"&amp;K$115&amp;":"&amp;$R$114)</f>
        <v>#</v>
      </c>
      <c r="Z369" s="82" t="str">
        <f>_xll.BLUEMATRIX2("/servlet/excelData",L369,$B$1,$B369&amp;":"&amp;L$115&amp;":"&amp;$R$114)</f>
        <v>#</v>
      </c>
      <c r="AA369" s="82" t="str">
        <f>_xll.BLUEMATRIX2("/servlet/excelData",M369,$B$1,$B369&amp;":"&amp;M$115&amp;":"&amp;$R$114)</f>
        <v>#</v>
      </c>
      <c r="AB369" s="82" t="str">
        <f>_xll.BLUEMATRIX2("/servlet/excelData",N369,$B$1,$B369&amp;":"&amp;N$115&amp;":"&amp;$R$114)</f>
        <v>#</v>
      </c>
      <c r="AC369" s="82" t="str">
        <f>_xll.BLUEMATRIX2("/servlet/excelData",O369,$B$1,$B369&amp;":"&amp;O$115&amp;":"&amp;$R$114)</f>
        <v>#</v>
      </c>
      <c r="AD369" s="82" t="str">
        <f>_xll.BLUEMATRIX2("/servlet/excelData",P369,$B$1,$B369&amp;":"&amp;P$115&amp;":"&amp;$R$114)</f>
        <v>#</v>
      </c>
      <c r="AE369" s="82" t="str">
        <f>_xll.BLUEMATRIX2("/servlet/excelData",Q369,$B$1,$B369&amp;":"&amp;Q$115&amp;":"&amp;$R$114)</f>
        <v>#</v>
      </c>
    </row>
    <row r="370" spans="1:31" ht="12.95" customHeight="1" x14ac:dyDescent="0.2">
      <c r="A370" s="26" t="s">
        <v>1137</v>
      </c>
      <c r="B370" s="29" t="s">
        <v>1138</v>
      </c>
      <c r="C370" s="190" t="str">
        <f t="shared" si="74"/>
        <v/>
      </c>
      <c r="D370" s="111"/>
      <c r="E370" s="111"/>
      <c r="F370" s="111"/>
      <c r="G370" s="111"/>
      <c r="H370" s="111"/>
      <c r="I370" s="111"/>
      <c r="J370" s="111"/>
      <c r="K370" s="111"/>
      <c r="L370" s="111"/>
      <c r="M370" s="111"/>
      <c r="N370" s="111"/>
      <c r="O370" s="111"/>
      <c r="P370" s="111"/>
      <c r="Q370" s="111"/>
      <c r="R370" s="1"/>
      <c r="S370" s="82" t="str">
        <f>_xll.BLUEMATRIX2("/servlet/excelData",E370,$B$1,$B370&amp;":"&amp;E$115&amp;":"&amp;$R$114)</f>
        <v>#</v>
      </c>
      <c r="T370" s="82" t="str">
        <f>_xll.BLUEMATRIX2("/servlet/excelData",F370,$B$1,$B370&amp;":"&amp;F$115&amp;":"&amp;$R$114)</f>
        <v>#</v>
      </c>
      <c r="U370" s="82" t="str">
        <f>_xll.BLUEMATRIX2("/servlet/excelData",G370,$B$1,$B370&amp;":"&amp;G$115&amp;":"&amp;$R$114)</f>
        <v>#</v>
      </c>
      <c r="V370" s="82" t="str">
        <f>_xll.BLUEMATRIX2("/servlet/excelData",H370,$B$1,$B370&amp;":"&amp;H$115&amp;":"&amp;$R$114)</f>
        <v>#</v>
      </c>
      <c r="W370" s="82" t="str">
        <f>_xll.BLUEMATRIX2("/servlet/excelData",I370,$B$1,$B370&amp;":"&amp;I$115&amp;":"&amp;$R$114)</f>
        <v>#</v>
      </c>
      <c r="X370" s="82" t="str">
        <f>_xll.BLUEMATRIX2("/servlet/excelData",J370,$B$1,$B370&amp;":"&amp;J$115&amp;":"&amp;$R$114)</f>
        <v>#</v>
      </c>
      <c r="Y370" s="82" t="str">
        <f>_xll.BLUEMATRIX2("/servlet/excelData",K370,$B$1,$B370&amp;":"&amp;K$115&amp;":"&amp;$R$114)</f>
        <v>#</v>
      </c>
      <c r="Z370" s="82" t="str">
        <f>_xll.BLUEMATRIX2("/servlet/excelData",L370,$B$1,$B370&amp;":"&amp;L$115&amp;":"&amp;$R$114)</f>
        <v>#</v>
      </c>
      <c r="AA370" s="82" t="str">
        <f>_xll.BLUEMATRIX2("/servlet/excelData",M370,$B$1,$B370&amp;":"&amp;M$115&amp;":"&amp;$R$114)</f>
        <v>#</v>
      </c>
      <c r="AB370" s="82" t="str">
        <f>_xll.BLUEMATRIX2("/servlet/excelData",N370,$B$1,$B370&amp;":"&amp;N$115&amp;":"&amp;$R$114)</f>
        <v>#</v>
      </c>
      <c r="AC370" s="82" t="str">
        <f>_xll.BLUEMATRIX2("/servlet/excelData",O370,$B$1,$B370&amp;":"&amp;O$115&amp;":"&amp;$R$114)</f>
        <v>#</v>
      </c>
      <c r="AD370" s="82" t="str">
        <f>_xll.BLUEMATRIX2("/servlet/excelData",P370,$B$1,$B370&amp;":"&amp;P$115&amp;":"&amp;$R$114)</f>
        <v>#</v>
      </c>
      <c r="AE370" s="82" t="str">
        <f>_xll.BLUEMATRIX2("/servlet/excelData",Q370,$B$1,$B370&amp;":"&amp;Q$115&amp;":"&amp;$R$114)</f>
        <v>#</v>
      </c>
    </row>
    <row r="371" spans="1:31" ht="12.95" customHeight="1" x14ac:dyDescent="0.2">
      <c r="A371" s="26" t="s">
        <v>1139</v>
      </c>
      <c r="B371" s="29" t="s">
        <v>1140</v>
      </c>
      <c r="C371" s="190" t="str">
        <f t="shared" si="74"/>
        <v/>
      </c>
      <c r="D371" s="111"/>
      <c r="E371" s="111"/>
      <c r="F371" s="111"/>
      <c r="G371" s="111"/>
      <c r="H371" s="111"/>
      <c r="I371" s="111"/>
      <c r="J371" s="111"/>
      <c r="K371" s="111"/>
      <c r="L371" s="111"/>
      <c r="M371" s="111"/>
      <c r="N371" s="111"/>
      <c r="O371" s="111"/>
      <c r="P371" s="111"/>
      <c r="Q371" s="111"/>
      <c r="R371" s="1"/>
      <c r="S371" s="82" t="str">
        <f>_xll.BLUEMATRIX2("/servlet/excelData",E371,$B$1,$B371&amp;":"&amp;E$115&amp;":"&amp;$R$114)</f>
        <v>#</v>
      </c>
      <c r="T371" s="82" t="str">
        <f>_xll.BLUEMATRIX2("/servlet/excelData",F371,$B$1,$B371&amp;":"&amp;F$115&amp;":"&amp;$R$114)</f>
        <v>#</v>
      </c>
      <c r="U371" s="82" t="str">
        <f>_xll.BLUEMATRIX2("/servlet/excelData",G371,$B$1,$B371&amp;":"&amp;G$115&amp;":"&amp;$R$114)</f>
        <v>#</v>
      </c>
      <c r="V371" s="82" t="str">
        <f>_xll.BLUEMATRIX2("/servlet/excelData",H371,$B$1,$B371&amp;":"&amp;H$115&amp;":"&amp;$R$114)</f>
        <v>#</v>
      </c>
      <c r="W371" s="82" t="str">
        <f>_xll.BLUEMATRIX2("/servlet/excelData",I371,$B$1,$B371&amp;":"&amp;I$115&amp;":"&amp;$R$114)</f>
        <v>#</v>
      </c>
      <c r="X371" s="82" t="str">
        <f>_xll.BLUEMATRIX2("/servlet/excelData",J371,$B$1,$B371&amp;":"&amp;J$115&amp;":"&amp;$R$114)</f>
        <v>#</v>
      </c>
      <c r="Y371" s="82" t="str">
        <f>_xll.BLUEMATRIX2("/servlet/excelData",K371,$B$1,$B371&amp;":"&amp;K$115&amp;":"&amp;$R$114)</f>
        <v>#</v>
      </c>
      <c r="Z371" s="82" t="str">
        <f>_xll.BLUEMATRIX2("/servlet/excelData",L371,$B$1,$B371&amp;":"&amp;L$115&amp;":"&amp;$R$114)</f>
        <v>#</v>
      </c>
      <c r="AA371" s="82" t="str">
        <f>_xll.BLUEMATRIX2("/servlet/excelData",M371,$B$1,$B371&amp;":"&amp;M$115&amp;":"&amp;$R$114)</f>
        <v>#</v>
      </c>
      <c r="AB371" s="82" t="str">
        <f>_xll.BLUEMATRIX2("/servlet/excelData",N371,$B$1,$B371&amp;":"&amp;N$115&amp;":"&amp;$R$114)</f>
        <v>#</v>
      </c>
      <c r="AC371" s="82" t="str">
        <f>_xll.BLUEMATRIX2("/servlet/excelData",O371,$B$1,$B371&amp;":"&amp;O$115&amp;":"&amp;$R$114)</f>
        <v>#</v>
      </c>
      <c r="AD371" s="82" t="str">
        <f>_xll.BLUEMATRIX2("/servlet/excelData",P371,$B$1,$B371&amp;":"&amp;P$115&amp;":"&amp;$R$114)</f>
        <v>#</v>
      </c>
      <c r="AE371" s="82" t="str">
        <f>_xll.BLUEMATRIX2("/servlet/excelData",Q371,$B$1,$B371&amp;":"&amp;Q$115&amp;":"&amp;$R$114)</f>
        <v>#</v>
      </c>
    </row>
    <row r="372" spans="1:31" ht="12.95" customHeight="1" x14ac:dyDescent="0.2">
      <c r="A372" s="26" t="s">
        <v>1141</v>
      </c>
      <c r="B372" s="29" t="s">
        <v>1142</v>
      </c>
      <c r="C372" s="190" t="str">
        <f t="shared" si="74"/>
        <v/>
      </c>
      <c r="D372" s="111"/>
      <c r="E372" s="111"/>
      <c r="F372" s="111"/>
      <c r="G372" s="111"/>
      <c r="H372" s="111"/>
      <c r="I372" s="111"/>
      <c r="J372" s="111"/>
      <c r="K372" s="111"/>
      <c r="L372" s="111"/>
      <c r="M372" s="111"/>
      <c r="N372" s="111"/>
      <c r="O372" s="111"/>
      <c r="P372" s="111"/>
      <c r="Q372" s="111"/>
      <c r="R372" s="1"/>
      <c r="S372" s="82" t="str">
        <f>_xll.BLUEMATRIX2("/servlet/excelData",E372,$B$1,$B372&amp;":"&amp;E$115&amp;":"&amp;$R$114)</f>
        <v>#</v>
      </c>
      <c r="T372" s="82" t="str">
        <f>_xll.BLUEMATRIX2("/servlet/excelData",F372,$B$1,$B372&amp;":"&amp;F$115&amp;":"&amp;$R$114)</f>
        <v>#</v>
      </c>
      <c r="U372" s="82" t="str">
        <f>_xll.BLUEMATRIX2("/servlet/excelData",G372,$B$1,$B372&amp;":"&amp;G$115&amp;":"&amp;$R$114)</f>
        <v>#</v>
      </c>
      <c r="V372" s="82" t="str">
        <f>_xll.BLUEMATRIX2("/servlet/excelData",H372,$B$1,$B372&amp;":"&amp;H$115&amp;":"&amp;$R$114)</f>
        <v>#</v>
      </c>
      <c r="W372" s="82" t="str">
        <f>_xll.BLUEMATRIX2("/servlet/excelData",I372,$B$1,$B372&amp;":"&amp;I$115&amp;":"&amp;$R$114)</f>
        <v>#</v>
      </c>
      <c r="X372" s="82" t="str">
        <f>_xll.BLUEMATRIX2("/servlet/excelData",J372,$B$1,$B372&amp;":"&amp;J$115&amp;":"&amp;$R$114)</f>
        <v>#</v>
      </c>
      <c r="Y372" s="82" t="str">
        <f>_xll.BLUEMATRIX2("/servlet/excelData",K372,$B$1,$B372&amp;":"&amp;K$115&amp;":"&amp;$R$114)</f>
        <v>#</v>
      </c>
      <c r="Z372" s="82" t="str">
        <f>_xll.BLUEMATRIX2("/servlet/excelData",L372,$B$1,$B372&amp;":"&amp;L$115&amp;":"&amp;$R$114)</f>
        <v>#</v>
      </c>
      <c r="AA372" s="82" t="str">
        <f>_xll.BLUEMATRIX2("/servlet/excelData",M372,$B$1,$B372&amp;":"&amp;M$115&amp;":"&amp;$R$114)</f>
        <v>#</v>
      </c>
      <c r="AB372" s="82" t="str">
        <f>_xll.BLUEMATRIX2("/servlet/excelData",N372,$B$1,$B372&amp;":"&amp;N$115&amp;":"&amp;$R$114)</f>
        <v>#</v>
      </c>
      <c r="AC372" s="82" t="str">
        <f>_xll.BLUEMATRIX2("/servlet/excelData",O372,$B$1,$B372&amp;":"&amp;O$115&amp;":"&amp;$R$114)</f>
        <v>#</v>
      </c>
      <c r="AD372" s="82" t="str">
        <f>_xll.BLUEMATRIX2("/servlet/excelData",P372,$B$1,$B372&amp;":"&amp;P$115&amp;":"&amp;$R$114)</f>
        <v>#</v>
      </c>
      <c r="AE372" s="82" t="str">
        <f>_xll.BLUEMATRIX2("/servlet/excelData",Q372,$B$1,$B372&amp;":"&amp;Q$115&amp;":"&amp;$R$114)</f>
        <v>#</v>
      </c>
    </row>
    <row r="373" spans="1:31" ht="12.95" customHeight="1" x14ac:dyDescent="0.2">
      <c r="A373" s="26" t="s">
        <v>1143</v>
      </c>
      <c r="B373" s="29" t="s">
        <v>1144</v>
      </c>
      <c r="C373" s="190" t="str">
        <f t="shared" si="74"/>
        <v/>
      </c>
      <c r="D373" s="111"/>
      <c r="E373" s="111"/>
      <c r="F373" s="111"/>
      <c r="G373" s="111"/>
      <c r="H373" s="111"/>
      <c r="I373" s="111"/>
      <c r="J373" s="111"/>
      <c r="K373" s="111"/>
      <c r="L373" s="111"/>
      <c r="M373" s="111"/>
      <c r="N373" s="111"/>
      <c r="O373" s="111"/>
      <c r="P373" s="111"/>
      <c r="Q373" s="111"/>
      <c r="R373" s="1"/>
      <c r="S373" s="82" t="str">
        <f>_xll.BLUEMATRIX2("/servlet/excelData",E373,$B$1,$B373&amp;":"&amp;E$115&amp;":"&amp;$R$114)</f>
        <v>#</v>
      </c>
      <c r="T373" s="82" t="str">
        <f>_xll.BLUEMATRIX2("/servlet/excelData",F373,$B$1,$B373&amp;":"&amp;F$115&amp;":"&amp;$R$114)</f>
        <v>#</v>
      </c>
      <c r="U373" s="82" t="str">
        <f>_xll.BLUEMATRIX2("/servlet/excelData",G373,$B$1,$B373&amp;":"&amp;G$115&amp;":"&amp;$R$114)</f>
        <v>#</v>
      </c>
      <c r="V373" s="82" t="str">
        <f>_xll.BLUEMATRIX2("/servlet/excelData",H373,$B$1,$B373&amp;":"&amp;H$115&amp;":"&amp;$R$114)</f>
        <v>#</v>
      </c>
      <c r="W373" s="82" t="str">
        <f>_xll.BLUEMATRIX2("/servlet/excelData",I373,$B$1,$B373&amp;":"&amp;I$115&amp;":"&amp;$R$114)</f>
        <v>#</v>
      </c>
      <c r="X373" s="82" t="str">
        <f>_xll.BLUEMATRIX2("/servlet/excelData",J373,$B$1,$B373&amp;":"&amp;J$115&amp;":"&amp;$R$114)</f>
        <v>#</v>
      </c>
      <c r="Y373" s="82" t="str">
        <f>_xll.BLUEMATRIX2("/servlet/excelData",K373,$B$1,$B373&amp;":"&amp;K$115&amp;":"&amp;$R$114)</f>
        <v>#</v>
      </c>
      <c r="Z373" s="82" t="str">
        <f>_xll.BLUEMATRIX2("/servlet/excelData",L373,$B$1,$B373&amp;":"&amp;L$115&amp;":"&amp;$R$114)</f>
        <v>#</v>
      </c>
      <c r="AA373" s="82" t="str">
        <f>_xll.BLUEMATRIX2("/servlet/excelData",M373,$B$1,$B373&amp;":"&amp;M$115&amp;":"&amp;$R$114)</f>
        <v>#</v>
      </c>
      <c r="AB373" s="82" t="str">
        <f>_xll.BLUEMATRIX2("/servlet/excelData",N373,$B$1,$B373&amp;":"&amp;N$115&amp;":"&amp;$R$114)</f>
        <v>#</v>
      </c>
      <c r="AC373" s="82" t="str">
        <f>_xll.BLUEMATRIX2("/servlet/excelData",O373,$B$1,$B373&amp;":"&amp;O$115&amp;":"&amp;$R$114)</f>
        <v>#</v>
      </c>
      <c r="AD373" s="82" t="str">
        <f>_xll.BLUEMATRIX2("/servlet/excelData",P373,$B$1,$B373&amp;":"&amp;P$115&amp;":"&amp;$R$114)</f>
        <v>#</v>
      </c>
      <c r="AE373" s="82" t="str">
        <f>_xll.BLUEMATRIX2("/servlet/excelData",Q373,$B$1,$B373&amp;":"&amp;Q$115&amp;":"&amp;$R$114)</f>
        <v>#</v>
      </c>
    </row>
    <row r="374" spans="1:31" ht="12.95" customHeight="1" x14ac:dyDescent="0.2">
      <c r="A374" s="193"/>
      <c r="B374" s="29"/>
      <c r="C374" s="1"/>
      <c r="D374" s="1"/>
      <c r="E374" s="1"/>
      <c r="F374" s="1"/>
      <c r="G374" s="1"/>
      <c r="H374" s="1"/>
      <c r="I374" s="1"/>
      <c r="J374" s="1"/>
      <c r="K374" s="1"/>
      <c r="L374" s="1"/>
      <c r="M374" s="1"/>
      <c r="N374" s="1"/>
      <c r="O374" s="1"/>
      <c r="P374" s="1"/>
      <c r="Q374" s="1"/>
      <c r="R374" s="1"/>
      <c r="S374" s="82"/>
      <c r="T374" s="82"/>
      <c r="U374" s="82"/>
      <c r="V374" s="82"/>
      <c r="W374" s="82"/>
      <c r="X374" s="82"/>
      <c r="Y374" s="82"/>
      <c r="Z374" s="82"/>
      <c r="AA374" s="82"/>
      <c r="AB374" s="82"/>
      <c r="AC374" s="82"/>
      <c r="AD374" s="82"/>
      <c r="AE374" s="82"/>
    </row>
    <row r="375" spans="1:31" ht="12.95" customHeight="1" x14ac:dyDescent="0.2">
      <c r="A375" s="1"/>
      <c r="B375" s="29"/>
      <c r="C375" s="1"/>
      <c r="D375" s="1"/>
      <c r="E375" s="1"/>
      <c r="F375" s="1"/>
      <c r="G375" s="1"/>
      <c r="H375" s="1"/>
      <c r="I375" s="1"/>
      <c r="J375" s="1"/>
      <c r="K375" s="1"/>
      <c r="L375" s="1"/>
      <c r="M375" s="1"/>
      <c r="N375" s="1"/>
      <c r="O375" s="1"/>
      <c r="P375" s="1"/>
      <c r="Q375" s="1"/>
      <c r="R375" s="1"/>
      <c r="S375" s="82"/>
      <c r="T375" s="82"/>
      <c r="U375" s="82"/>
      <c r="V375" s="82"/>
      <c r="W375" s="82"/>
      <c r="X375" s="82"/>
      <c r="Y375" s="82"/>
      <c r="Z375" s="82"/>
      <c r="AA375" s="82"/>
      <c r="AB375" s="82"/>
      <c r="AC375" s="82"/>
      <c r="AD375" s="82"/>
      <c r="AE375" s="82"/>
    </row>
    <row r="376" spans="1:31" ht="15" customHeight="1" x14ac:dyDescent="0.2">
      <c r="A376" s="26"/>
      <c r="B376" s="29"/>
      <c r="C376" s="107" t="s">
        <v>1145</v>
      </c>
      <c r="D376" s="108"/>
      <c r="E376" s="108"/>
      <c r="F376" s="108"/>
      <c r="G376" s="108"/>
      <c r="H376" s="108"/>
      <c r="I376" s="108"/>
      <c r="J376" s="108"/>
      <c r="K376" s="108"/>
      <c r="L376" s="108"/>
      <c r="M376" s="108"/>
      <c r="N376" s="108"/>
      <c r="O376" s="108"/>
      <c r="P376" s="108"/>
      <c r="Q376" s="108"/>
      <c r="R376" s="1"/>
      <c r="S376" s="82"/>
      <c r="T376" s="82"/>
      <c r="U376" s="82"/>
      <c r="V376" s="82"/>
      <c r="W376" s="82"/>
      <c r="X376" s="82"/>
      <c r="Y376" s="82"/>
      <c r="Z376" s="82"/>
      <c r="AA376" s="82"/>
      <c r="AB376" s="82"/>
      <c r="AC376" s="82"/>
      <c r="AD376" s="82"/>
      <c r="AE376" s="82"/>
    </row>
    <row r="377" spans="1:31" ht="12.95" customHeight="1" x14ac:dyDescent="0.2">
      <c r="A377" s="26" t="s">
        <v>1146</v>
      </c>
      <c r="B377" s="29" t="s">
        <v>1147</v>
      </c>
      <c r="C377" s="194" t="s">
        <v>1148</v>
      </c>
      <c r="D377" s="147"/>
      <c r="E377" s="147">
        <f t="shared" ref="E377:Q377" si="75">E156+E166</f>
        <v>0</v>
      </c>
      <c r="F377" s="147">
        <f t="shared" si="75"/>
        <v>0</v>
      </c>
      <c r="G377" s="147">
        <f t="shared" si="75"/>
        <v>0</v>
      </c>
      <c r="H377" s="147">
        <f t="shared" si="75"/>
        <v>3.1000000000000005</v>
      </c>
      <c r="I377" s="147">
        <f t="shared" si="75"/>
        <v>-20</v>
      </c>
      <c r="J377" s="147">
        <f t="shared" si="75"/>
        <v>6.3019570586514142</v>
      </c>
      <c r="K377" s="147">
        <f t="shared" si="75"/>
        <v>11.413631739653566</v>
      </c>
      <c r="L377" s="147">
        <f t="shared" si="75"/>
        <v>15.262318294982869</v>
      </c>
      <c r="M377" s="147">
        <f t="shared" si="75"/>
        <v>18.018490245427028</v>
      </c>
      <c r="N377" s="147">
        <f t="shared" si="75"/>
        <v>20.49514688883805</v>
      </c>
      <c r="O377" s="147">
        <f t="shared" si="75"/>
        <v>21.889553823218751</v>
      </c>
      <c r="P377" s="147">
        <f t="shared" si="75"/>
        <v>23.280778863787322</v>
      </c>
      <c r="Q377" s="147">
        <f t="shared" si="75"/>
        <v>24.683742579157013</v>
      </c>
      <c r="R377" s="1"/>
      <c r="S377" s="82" t="str">
        <f>_xll.BLUEMATRIX2("/servlet/excelData",E377,$B$1,$B377&amp;":"&amp;E$115&amp;":"&amp;$R$114)</f>
        <v>#</v>
      </c>
      <c r="T377" s="82" t="str">
        <f>_xll.BLUEMATRIX2("/servlet/excelData",F377,$B$1,$B377&amp;":"&amp;F$115&amp;":"&amp;$R$114)</f>
        <v>#</v>
      </c>
      <c r="U377" s="82" t="str">
        <f>_xll.BLUEMATRIX2("/servlet/excelData",G377,$B$1,$B377&amp;":"&amp;G$115&amp;":"&amp;$R$114)</f>
        <v>#</v>
      </c>
      <c r="V377" s="82" t="str">
        <f>_xll.BLUEMATRIX2("/servlet/excelData",H377,$B$1,$B377&amp;":"&amp;H$115&amp;":"&amp;$R$114)</f>
        <v>#</v>
      </c>
      <c r="W377" s="82" t="str">
        <f>_xll.BLUEMATRIX2("/servlet/excelData",I377,$B$1,$B377&amp;":"&amp;I$115&amp;":"&amp;$R$114)</f>
        <v>#</v>
      </c>
      <c r="X377" s="82" t="str">
        <f>_xll.BLUEMATRIX2("/servlet/excelData",J377,$B$1,$B377&amp;":"&amp;J$115&amp;":"&amp;$R$114)</f>
        <v>#</v>
      </c>
      <c r="Y377" s="82" t="str">
        <f>_xll.BLUEMATRIX2("/servlet/excelData",K377,$B$1,$B377&amp;":"&amp;K$115&amp;":"&amp;$R$114)</f>
        <v>#</v>
      </c>
      <c r="Z377" s="82" t="str">
        <f>_xll.BLUEMATRIX2("/servlet/excelData",L377,$B$1,$B377&amp;":"&amp;L$115&amp;":"&amp;$R$114)</f>
        <v>#</v>
      </c>
      <c r="AA377" s="82" t="str">
        <f>_xll.BLUEMATRIX2("/servlet/excelData",M377,$B$1,$B377&amp;":"&amp;M$115&amp;":"&amp;$R$114)</f>
        <v>#</v>
      </c>
      <c r="AB377" s="82" t="str">
        <f>_xll.BLUEMATRIX2("/servlet/excelData",N377,$B$1,$B377&amp;":"&amp;N$115&amp;":"&amp;$R$114)</f>
        <v>#</v>
      </c>
      <c r="AC377" s="82" t="str">
        <f>_xll.BLUEMATRIX2("/servlet/excelData",O377,$B$1,$B377&amp;":"&amp;O$115&amp;":"&amp;$R$114)</f>
        <v>#</v>
      </c>
      <c r="AD377" s="82" t="str">
        <f>_xll.BLUEMATRIX2("/servlet/excelData",P377,$B$1,$B377&amp;":"&amp;P$115&amp;":"&amp;$R$114)</f>
        <v>#</v>
      </c>
      <c r="AE377" s="82" t="str">
        <f>_xll.BLUEMATRIX2("/servlet/excelData",Q377,$B$1,$B377&amp;":"&amp;Q$115&amp;":"&amp;$R$114)</f>
        <v>#</v>
      </c>
    </row>
    <row r="378" spans="1:31" ht="12.95" customHeight="1" x14ac:dyDescent="0.2">
      <c r="A378" s="26" t="s">
        <v>1149</v>
      </c>
      <c r="B378" s="29" t="s">
        <v>1150</v>
      </c>
      <c r="C378" s="1" t="s">
        <v>1151</v>
      </c>
      <c r="D378" s="147"/>
      <c r="E378" s="147">
        <f t="shared" ref="E378:Q378" si="76">E166+E168</f>
        <v>0</v>
      </c>
      <c r="F378" s="147">
        <f t="shared" si="76"/>
        <v>0</v>
      </c>
      <c r="G378" s="147">
        <f t="shared" si="76"/>
        <v>0</v>
      </c>
      <c r="H378" s="147">
        <f t="shared" si="76"/>
        <v>0</v>
      </c>
      <c r="I378" s="147">
        <f t="shared" si="76"/>
        <v>0</v>
      </c>
      <c r="J378" s="147">
        <f t="shared" si="76"/>
        <v>0</v>
      </c>
      <c r="K378" s="147">
        <f t="shared" si="76"/>
        <v>0</v>
      </c>
      <c r="L378" s="147">
        <f t="shared" si="76"/>
        <v>0</v>
      </c>
      <c r="M378" s="147">
        <f t="shared" si="76"/>
        <v>0</v>
      </c>
      <c r="N378" s="147">
        <f t="shared" si="76"/>
        <v>0</v>
      </c>
      <c r="O378" s="147">
        <f t="shared" si="76"/>
        <v>0</v>
      </c>
      <c r="P378" s="147">
        <f t="shared" si="76"/>
        <v>0</v>
      </c>
      <c r="Q378" s="147">
        <f t="shared" si="76"/>
        <v>0</v>
      </c>
      <c r="R378" s="1"/>
      <c r="S378" s="82" t="str">
        <f>_xll.BLUEMATRIX2("/servlet/excelData",E378,$B$1,$B378&amp;":"&amp;E$115&amp;":"&amp;$R$114)</f>
        <v>#</v>
      </c>
      <c r="T378" s="82" t="str">
        <f>_xll.BLUEMATRIX2("/servlet/excelData",F378,$B$1,$B378&amp;":"&amp;F$115&amp;":"&amp;$R$114)</f>
        <v>#</v>
      </c>
      <c r="U378" s="82" t="str">
        <f>_xll.BLUEMATRIX2("/servlet/excelData",G378,$B$1,$B378&amp;":"&amp;G$115&amp;":"&amp;$R$114)</f>
        <v>#</v>
      </c>
      <c r="V378" s="82" t="str">
        <f>_xll.BLUEMATRIX2("/servlet/excelData",H378,$B$1,$B378&amp;":"&amp;H$115&amp;":"&amp;$R$114)</f>
        <v>#</v>
      </c>
      <c r="W378" s="82" t="str">
        <f>_xll.BLUEMATRIX2("/servlet/excelData",I378,$B$1,$B378&amp;":"&amp;I$115&amp;":"&amp;$R$114)</f>
        <v>#</v>
      </c>
      <c r="X378" s="82" t="str">
        <f>_xll.BLUEMATRIX2("/servlet/excelData",J378,$B$1,$B378&amp;":"&amp;J$115&amp;":"&amp;$R$114)</f>
        <v>#</v>
      </c>
      <c r="Y378" s="82" t="str">
        <f>_xll.BLUEMATRIX2("/servlet/excelData",K378,$B$1,$B378&amp;":"&amp;K$115&amp;":"&amp;$R$114)</f>
        <v>#</v>
      </c>
      <c r="Z378" s="82" t="str">
        <f>_xll.BLUEMATRIX2("/servlet/excelData",L378,$B$1,$B378&amp;":"&amp;L$115&amp;":"&amp;$R$114)</f>
        <v>#</v>
      </c>
      <c r="AA378" s="82" t="str">
        <f>_xll.BLUEMATRIX2("/servlet/excelData",M378,$B$1,$B378&amp;":"&amp;M$115&amp;":"&amp;$R$114)</f>
        <v>#</v>
      </c>
      <c r="AB378" s="82" t="str">
        <f>_xll.BLUEMATRIX2("/servlet/excelData",N378,$B$1,$B378&amp;":"&amp;N$115&amp;":"&amp;$R$114)</f>
        <v>#</v>
      </c>
      <c r="AC378" s="82" t="str">
        <f>_xll.BLUEMATRIX2("/servlet/excelData",O378,$B$1,$B378&amp;":"&amp;O$115&amp;":"&amp;$R$114)</f>
        <v>#</v>
      </c>
      <c r="AD378" s="82" t="str">
        <f>_xll.BLUEMATRIX2("/servlet/excelData",P378,$B$1,$B378&amp;":"&amp;P$115&amp;":"&amp;$R$114)</f>
        <v>#</v>
      </c>
      <c r="AE378" s="82" t="str">
        <f>_xll.BLUEMATRIX2("/servlet/excelData",Q378,$B$1,$B378&amp;":"&amp;Q$115&amp;":"&amp;$R$114)</f>
        <v>#</v>
      </c>
    </row>
    <row r="379" spans="1:31" ht="12.95" customHeight="1" x14ac:dyDescent="0.2">
      <c r="A379" s="26" t="s">
        <v>1152</v>
      </c>
      <c r="B379" s="29" t="s">
        <v>1153</v>
      </c>
      <c r="C379" s="1" t="s">
        <v>1154</v>
      </c>
      <c r="D379" s="147"/>
      <c r="E379" s="147">
        <f t="shared" ref="E379:Q379" si="77">E170+E171</f>
        <v>0</v>
      </c>
      <c r="F379" s="147">
        <f t="shared" si="77"/>
        <v>0</v>
      </c>
      <c r="G379" s="147">
        <f t="shared" si="77"/>
        <v>0</v>
      </c>
      <c r="H379" s="147">
        <f t="shared" si="77"/>
        <v>-11.6</v>
      </c>
      <c r="I379" s="147">
        <f t="shared" si="77"/>
        <v>-19.5</v>
      </c>
      <c r="J379" s="147">
        <f t="shared" si="77"/>
        <v>-8.6571327683615831</v>
      </c>
      <c r="K379" s="147">
        <f t="shared" si="77"/>
        <v>-5.5785459154779682</v>
      </c>
      <c r="L379" s="147">
        <f t="shared" si="77"/>
        <v>-2.2999447141965006</v>
      </c>
      <c r="M379" s="147">
        <f t="shared" si="77"/>
        <v>-2.3026837243268261</v>
      </c>
      <c r="N379" s="147">
        <f t="shared" si="77"/>
        <v>-2.339823784396613</v>
      </c>
      <c r="O379" s="147">
        <f t="shared" si="77"/>
        <v>-2.456814973616444</v>
      </c>
      <c r="P379" s="147">
        <f t="shared" si="77"/>
        <v>-2.5796557222972663</v>
      </c>
      <c r="Q379" s="147">
        <f t="shared" si="77"/>
        <v>-2.7086385084121294</v>
      </c>
      <c r="R379" s="1"/>
      <c r="S379" s="82" t="str">
        <f>_xll.BLUEMATRIX2("/servlet/excelData",E379,$B$1,$B379&amp;":"&amp;E$115&amp;":"&amp;$R$114)</f>
        <v>#</v>
      </c>
      <c r="T379" s="82" t="str">
        <f>_xll.BLUEMATRIX2("/servlet/excelData",F379,$B$1,$B379&amp;":"&amp;F$115&amp;":"&amp;$R$114)</f>
        <v>#</v>
      </c>
      <c r="U379" s="82" t="str">
        <f>_xll.BLUEMATRIX2("/servlet/excelData",G379,$B$1,$B379&amp;":"&amp;G$115&amp;":"&amp;$R$114)</f>
        <v>#</v>
      </c>
      <c r="V379" s="82" t="str">
        <f>_xll.BLUEMATRIX2("/servlet/excelData",H379,$B$1,$B379&amp;":"&amp;H$115&amp;":"&amp;$R$114)</f>
        <v>#</v>
      </c>
      <c r="W379" s="82" t="str">
        <f>_xll.BLUEMATRIX2("/servlet/excelData",I379,$B$1,$B379&amp;":"&amp;I$115&amp;":"&amp;$R$114)</f>
        <v>#</v>
      </c>
      <c r="X379" s="82" t="str">
        <f>_xll.BLUEMATRIX2("/servlet/excelData",J379,$B$1,$B379&amp;":"&amp;J$115&amp;":"&amp;$R$114)</f>
        <v>#</v>
      </c>
      <c r="Y379" s="82" t="str">
        <f>_xll.BLUEMATRIX2("/servlet/excelData",K379,$B$1,$B379&amp;":"&amp;K$115&amp;":"&amp;$R$114)</f>
        <v>#</v>
      </c>
      <c r="Z379" s="82" t="str">
        <f>_xll.BLUEMATRIX2("/servlet/excelData",L379,$B$1,$B379&amp;":"&amp;L$115&amp;":"&amp;$R$114)</f>
        <v>#</v>
      </c>
      <c r="AA379" s="82" t="str">
        <f>_xll.BLUEMATRIX2("/servlet/excelData",M379,$B$1,$B379&amp;":"&amp;M$115&amp;":"&amp;$R$114)</f>
        <v>#</v>
      </c>
      <c r="AB379" s="82" t="str">
        <f>_xll.BLUEMATRIX2("/servlet/excelData",N379,$B$1,$B379&amp;":"&amp;N$115&amp;":"&amp;$R$114)</f>
        <v>#</v>
      </c>
      <c r="AC379" s="82" t="str">
        <f>_xll.BLUEMATRIX2("/servlet/excelData",O379,$B$1,$B379&amp;":"&amp;O$115&amp;":"&amp;$R$114)</f>
        <v>#</v>
      </c>
      <c r="AD379" s="82" t="str">
        <f>_xll.BLUEMATRIX2("/servlet/excelData",P379,$B$1,$B379&amp;":"&amp;P$115&amp;":"&amp;$R$114)</f>
        <v>#</v>
      </c>
      <c r="AE379" s="82" t="str">
        <f>_xll.BLUEMATRIX2("/servlet/excelData",Q379,$B$1,$B379&amp;":"&amp;Q$115&amp;":"&amp;$R$114)</f>
        <v>#</v>
      </c>
    </row>
    <row r="380" spans="1:31" ht="12.95" customHeight="1" x14ac:dyDescent="0.2">
      <c r="A380" s="26" t="s">
        <v>1155</v>
      </c>
      <c r="B380" s="29" t="s">
        <v>1156</v>
      </c>
      <c r="C380" s="1" t="s">
        <v>165</v>
      </c>
      <c r="D380" s="147"/>
      <c r="E380" s="147">
        <f t="shared" ref="E380:Q380" si="78">E185+E186+E188+E191+E192+E194</f>
        <v>0</v>
      </c>
      <c r="F380" s="147">
        <f t="shared" si="78"/>
        <v>0</v>
      </c>
      <c r="G380" s="147">
        <f t="shared" si="78"/>
        <v>8.1999999999999993</v>
      </c>
      <c r="H380" s="147">
        <f t="shared" si="78"/>
        <v>120.8</v>
      </c>
      <c r="I380" s="147">
        <f t="shared" si="78"/>
        <v>132.69999999999999</v>
      </c>
      <c r="J380" s="147">
        <f t="shared" si="78"/>
        <v>132.69999999999999</v>
      </c>
      <c r="K380" s="147">
        <f t="shared" si="78"/>
        <v>132.69999999999999</v>
      </c>
      <c r="L380" s="147">
        <f t="shared" si="78"/>
        <v>132.69999999999999</v>
      </c>
      <c r="M380" s="147">
        <f t="shared" si="78"/>
        <v>132.69999999999999</v>
      </c>
      <c r="N380" s="147">
        <f t="shared" si="78"/>
        <v>132.69999999999999</v>
      </c>
      <c r="O380" s="147">
        <f t="shared" si="78"/>
        <v>132.69999999999999</v>
      </c>
      <c r="P380" s="147">
        <f t="shared" si="78"/>
        <v>132.69999999999999</v>
      </c>
      <c r="Q380" s="147">
        <f t="shared" si="78"/>
        <v>132.69999999999999</v>
      </c>
      <c r="R380" s="1"/>
      <c r="S380" s="82" t="str">
        <f>_xll.BLUEMATRIX2("/servlet/excelData",E380,$B$1,$B380&amp;":"&amp;E$115&amp;":"&amp;$R$114)</f>
        <v>#</v>
      </c>
      <c r="T380" s="82" t="str">
        <f>_xll.BLUEMATRIX2("/servlet/excelData",F380,$B$1,$B380&amp;":"&amp;F$115&amp;":"&amp;$R$114)</f>
        <v>#</v>
      </c>
      <c r="U380" s="82" t="str">
        <f>_xll.BLUEMATRIX2("/servlet/excelData",G380,$B$1,$B380&amp;":"&amp;G$115&amp;":"&amp;$R$114)</f>
        <v>#</v>
      </c>
      <c r="V380" s="82" t="str">
        <f>_xll.BLUEMATRIX2("/servlet/excelData",H380,$B$1,$B380&amp;":"&amp;H$115&amp;":"&amp;$R$114)</f>
        <v>#</v>
      </c>
      <c r="W380" s="82" t="str">
        <f>_xll.BLUEMATRIX2("/servlet/excelData",I380,$B$1,$B380&amp;":"&amp;I$115&amp;":"&amp;$R$114)</f>
        <v>#</v>
      </c>
      <c r="X380" s="82" t="str">
        <f>_xll.BLUEMATRIX2("/servlet/excelData",J380,$B$1,$B380&amp;":"&amp;J$115&amp;":"&amp;$R$114)</f>
        <v>#</v>
      </c>
      <c r="Y380" s="82" t="str">
        <f>_xll.BLUEMATRIX2("/servlet/excelData",K380,$B$1,$B380&amp;":"&amp;K$115&amp;":"&amp;$R$114)</f>
        <v>#</v>
      </c>
      <c r="Z380" s="82" t="str">
        <f>_xll.BLUEMATRIX2("/servlet/excelData",L380,$B$1,$B380&amp;":"&amp;L$115&amp;":"&amp;$R$114)</f>
        <v>#</v>
      </c>
      <c r="AA380" s="82" t="str">
        <f>_xll.BLUEMATRIX2("/servlet/excelData",M380,$B$1,$B380&amp;":"&amp;M$115&amp;":"&amp;$R$114)</f>
        <v>#</v>
      </c>
      <c r="AB380" s="82" t="str">
        <f>_xll.BLUEMATRIX2("/servlet/excelData",N380,$B$1,$B380&amp;":"&amp;N$115&amp;":"&amp;$R$114)</f>
        <v>#</v>
      </c>
      <c r="AC380" s="82" t="str">
        <f>_xll.BLUEMATRIX2("/servlet/excelData",O380,$B$1,$B380&amp;":"&amp;O$115&amp;":"&amp;$R$114)</f>
        <v>#</v>
      </c>
      <c r="AD380" s="82" t="str">
        <f>_xll.BLUEMATRIX2("/servlet/excelData",P380,$B$1,$B380&amp;":"&amp;P$115&amp;":"&amp;$R$114)</f>
        <v>#</v>
      </c>
      <c r="AE380" s="82" t="str">
        <f>_xll.BLUEMATRIX2("/servlet/excelData",Q380,$B$1,$B380&amp;":"&amp;Q$115&amp;":"&amp;$R$114)</f>
        <v>#</v>
      </c>
    </row>
    <row r="381" spans="1:31" ht="12.95" customHeight="1" x14ac:dyDescent="0.2">
      <c r="A381" s="26" t="s">
        <v>1157</v>
      </c>
      <c r="B381" s="29" t="s">
        <v>1158</v>
      </c>
      <c r="C381" s="1" t="s">
        <v>1159</v>
      </c>
      <c r="D381" s="147"/>
      <c r="E381" s="147">
        <f t="shared" ref="E381:Q381" si="79">E202+E205+E206+E207+E210+E211+E212+E213+E214+E215</f>
        <v>0</v>
      </c>
      <c r="F381" s="147">
        <f t="shared" si="79"/>
        <v>0</v>
      </c>
      <c r="G381" s="147">
        <f t="shared" si="79"/>
        <v>22.400000000000002</v>
      </c>
      <c r="H381" s="147">
        <f t="shared" si="79"/>
        <v>30.799999999999997</v>
      </c>
      <c r="I381" s="147">
        <f t="shared" si="79"/>
        <v>21.3</v>
      </c>
      <c r="J381" s="147">
        <f t="shared" si="79"/>
        <v>21.3</v>
      </c>
      <c r="K381" s="147">
        <f t="shared" si="79"/>
        <v>21.3</v>
      </c>
      <c r="L381" s="147">
        <f t="shared" si="79"/>
        <v>21.3</v>
      </c>
      <c r="M381" s="147">
        <f t="shared" si="79"/>
        <v>21.3</v>
      </c>
      <c r="N381" s="147">
        <f t="shared" si="79"/>
        <v>21.3</v>
      </c>
      <c r="O381" s="147">
        <f t="shared" si="79"/>
        <v>21.3</v>
      </c>
      <c r="P381" s="147">
        <f t="shared" si="79"/>
        <v>21.3</v>
      </c>
      <c r="Q381" s="147">
        <f t="shared" si="79"/>
        <v>21.3</v>
      </c>
      <c r="R381" s="1"/>
      <c r="S381" s="82" t="str">
        <f>_xll.BLUEMATRIX2("/servlet/excelData",E381,$B$1,$B381&amp;":"&amp;E$115&amp;":"&amp;$R$114)</f>
        <v>#</v>
      </c>
      <c r="T381" s="82" t="str">
        <f>_xll.BLUEMATRIX2("/servlet/excelData",F381,$B$1,$B381&amp;":"&amp;F$115&amp;":"&amp;$R$114)</f>
        <v>#</v>
      </c>
      <c r="U381" s="82" t="str">
        <f>_xll.BLUEMATRIX2("/servlet/excelData",G381,$B$1,$B381&amp;":"&amp;G$115&amp;":"&amp;$R$114)</f>
        <v>#</v>
      </c>
      <c r="V381" s="82" t="str">
        <f>_xll.BLUEMATRIX2("/servlet/excelData",H381,$B$1,$B381&amp;":"&amp;H$115&amp;":"&amp;$R$114)</f>
        <v>#</v>
      </c>
      <c r="W381" s="82" t="str">
        <f>_xll.BLUEMATRIX2("/servlet/excelData",I381,$B$1,$B381&amp;":"&amp;I$115&amp;":"&amp;$R$114)</f>
        <v>#</v>
      </c>
      <c r="X381" s="82" t="str">
        <f>_xll.BLUEMATRIX2("/servlet/excelData",J381,$B$1,$B381&amp;":"&amp;J$115&amp;":"&amp;$R$114)</f>
        <v>#</v>
      </c>
      <c r="Y381" s="82" t="str">
        <f>_xll.BLUEMATRIX2("/servlet/excelData",K381,$B$1,$B381&amp;":"&amp;K$115&amp;":"&amp;$R$114)</f>
        <v>#</v>
      </c>
      <c r="Z381" s="82" t="str">
        <f>_xll.BLUEMATRIX2("/servlet/excelData",L381,$B$1,$B381&amp;":"&amp;L$115&amp;":"&amp;$R$114)</f>
        <v>#</v>
      </c>
      <c r="AA381" s="82" t="str">
        <f>_xll.BLUEMATRIX2("/servlet/excelData",M381,$B$1,$B381&amp;":"&amp;M$115&amp;":"&amp;$R$114)</f>
        <v>#</v>
      </c>
      <c r="AB381" s="82" t="str">
        <f>_xll.BLUEMATRIX2("/servlet/excelData",N381,$B$1,$B381&amp;":"&amp;N$115&amp;":"&amp;$R$114)</f>
        <v>#</v>
      </c>
      <c r="AC381" s="82" t="str">
        <f>_xll.BLUEMATRIX2("/servlet/excelData",O381,$B$1,$B381&amp;":"&amp;O$115&amp;":"&amp;$R$114)</f>
        <v>#</v>
      </c>
      <c r="AD381" s="82" t="str">
        <f>_xll.BLUEMATRIX2("/servlet/excelData",P381,$B$1,$B381&amp;":"&amp;P$115&amp;":"&amp;$R$114)</f>
        <v>#</v>
      </c>
      <c r="AE381" s="82" t="str">
        <f>_xll.BLUEMATRIX2("/servlet/excelData",Q381,$B$1,$B381&amp;":"&amp;Q$115&amp;":"&amp;$R$114)</f>
        <v>#</v>
      </c>
    </row>
    <row r="382" spans="1:31" ht="12.95" customHeight="1" x14ac:dyDescent="0.2">
      <c r="A382" s="26" t="s">
        <v>1160</v>
      </c>
      <c r="B382" s="29" t="s">
        <v>1161</v>
      </c>
      <c r="C382" s="1" t="s">
        <v>246</v>
      </c>
      <c r="D382" s="147"/>
      <c r="E382" s="147">
        <f t="shared" ref="E382:Q382" si="80">E204+E209</f>
        <v>0</v>
      </c>
      <c r="F382" s="147">
        <f t="shared" si="80"/>
        <v>0</v>
      </c>
      <c r="G382" s="147">
        <f t="shared" si="80"/>
        <v>0.1</v>
      </c>
      <c r="H382" s="147">
        <f t="shared" si="80"/>
        <v>33.299999999999997</v>
      </c>
      <c r="I382" s="147">
        <f t="shared" si="80"/>
        <v>33.799999999999997</v>
      </c>
      <c r="J382" s="147">
        <f t="shared" si="80"/>
        <v>33.799999999999997</v>
      </c>
      <c r="K382" s="147">
        <f t="shared" si="80"/>
        <v>33.799999999999997</v>
      </c>
      <c r="L382" s="147">
        <f t="shared" si="80"/>
        <v>33.799999999999997</v>
      </c>
      <c r="M382" s="147">
        <f t="shared" si="80"/>
        <v>33.799999999999997</v>
      </c>
      <c r="N382" s="147">
        <f t="shared" si="80"/>
        <v>33.799999999999997</v>
      </c>
      <c r="O382" s="147">
        <f t="shared" si="80"/>
        <v>33.799999999999997</v>
      </c>
      <c r="P382" s="147">
        <f t="shared" si="80"/>
        <v>33.799999999999997</v>
      </c>
      <c r="Q382" s="147">
        <f t="shared" si="80"/>
        <v>33.799999999999997</v>
      </c>
      <c r="R382" s="1"/>
      <c r="S382" s="82" t="str">
        <f>_xll.BLUEMATRIX2("/servlet/excelData",E382,$B$1,$B382&amp;":"&amp;E$115&amp;":"&amp;$R$114)</f>
        <v>#</v>
      </c>
      <c r="T382" s="82" t="str">
        <f>_xll.BLUEMATRIX2("/servlet/excelData",F382,$B$1,$B382&amp;":"&amp;F$115&amp;":"&amp;$R$114)</f>
        <v>#</v>
      </c>
      <c r="U382" s="82" t="str">
        <f>_xll.BLUEMATRIX2("/servlet/excelData",G382,$B$1,$B382&amp;":"&amp;G$115&amp;":"&amp;$R$114)</f>
        <v>#</v>
      </c>
      <c r="V382" s="82" t="str">
        <f>_xll.BLUEMATRIX2("/servlet/excelData",H382,$B$1,$B382&amp;":"&amp;H$115&amp;":"&amp;$R$114)</f>
        <v>#</v>
      </c>
      <c r="W382" s="82" t="str">
        <f>_xll.BLUEMATRIX2("/servlet/excelData",I382,$B$1,$B382&amp;":"&amp;I$115&amp;":"&amp;$R$114)</f>
        <v>#</v>
      </c>
      <c r="X382" s="82" t="str">
        <f>_xll.BLUEMATRIX2("/servlet/excelData",J382,$B$1,$B382&amp;":"&amp;J$115&amp;":"&amp;$R$114)</f>
        <v>#</v>
      </c>
      <c r="Y382" s="82" t="str">
        <f>_xll.BLUEMATRIX2("/servlet/excelData",K382,$B$1,$B382&amp;":"&amp;K$115&amp;":"&amp;$R$114)</f>
        <v>#</v>
      </c>
      <c r="Z382" s="82" t="str">
        <f>_xll.BLUEMATRIX2("/servlet/excelData",L382,$B$1,$B382&amp;":"&amp;L$115&amp;":"&amp;$R$114)</f>
        <v>#</v>
      </c>
      <c r="AA382" s="82" t="str">
        <f>_xll.BLUEMATRIX2("/servlet/excelData",M382,$B$1,$B382&amp;":"&amp;M$115&amp;":"&amp;$R$114)</f>
        <v>#</v>
      </c>
      <c r="AB382" s="82" t="str">
        <f>_xll.BLUEMATRIX2("/servlet/excelData",N382,$B$1,$B382&amp;":"&amp;N$115&amp;":"&amp;$R$114)</f>
        <v>#</v>
      </c>
      <c r="AC382" s="82" t="str">
        <f>_xll.BLUEMATRIX2("/servlet/excelData",O382,$B$1,$B382&amp;":"&amp;O$115&amp;":"&amp;$R$114)</f>
        <v>#</v>
      </c>
      <c r="AD382" s="82" t="str">
        <f>_xll.BLUEMATRIX2("/servlet/excelData",P382,$B$1,$B382&amp;":"&amp;P$115&amp;":"&amp;$R$114)</f>
        <v>#</v>
      </c>
      <c r="AE382" s="82" t="str">
        <f>_xll.BLUEMATRIX2("/servlet/excelData",Q382,$B$1,$B382&amp;":"&amp;Q$115&amp;":"&amp;$R$114)</f>
        <v>#</v>
      </c>
    </row>
    <row r="383" spans="1:31" ht="12.95" customHeight="1" x14ac:dyDescent="0.2">
      <c r="A383" s="26" t="s">
        <v>1162</v>
      </c>
      <c r="B383" s="29" t="s">
        <v>1163</v>
      </c>
      <c r="C383" s="1" t="s">
        <v>1164</v>
      </c>
      <c r="D383" s="147"/>
      <c r="E383" s="147">
        <f t="shared" ref="E383:Q383" si="81">E243+E245</f>
        <v>0</v>
      </c>
      <c r="F383" s="147">
        <f t="shared" si="81"/>
        <v>0</v>
      </c>
      <c r="G383" s="147">
        <f t="shared" si="81"/>
        <v>-12.3</v>
      </c>
      <c r="H383" s="147">
        <f t="shared" si="81"/>
        <v>-28.599999999999998</v>
      </c>
      <c r="I383" s="147">
        <f t="shared" si="81"/>
        <v>-21.6</v>
      </c>
      <c r="J383" s="147">
        <f t="shared" si="81"/>
        <v>-2</v>
      </c>
      <c r="K383" s="147">
        <f t="shared" si="81"/>
        <v>0</v>
      </c>
      <c r="L383" s="147">
        <f t="shared" si="81"/>
        <v>0</v>
      </c>
      <c r="M383" s="147">
        <f t="shared" si="81"/>
        <v>0</v>
      </c>
      <c r="N383" s="147">
        <f t="shared" si="81"/>
        <v>0</v>
      </c>
      <c r="O383" s="147">
        <f t="shared" si="81"/>
        <v>0</v>
      </c>
      <c r="P383" s="147">
        <f t="shared" si="81"/>
        <v>0</v>
      </c>
      <c r="Q383" s="147">
        <f t="shared" si="81"/>
        <v>0</v>
      </c>
      <c r="R383" s="1"/>
      <c r="S383" s="82" t="str">
        <f>_xll.BLUEMATRIX2("/servlet/excelData",E383,$B$1,$B383&amp;":"&amp;E$115&amp;":"&amp;$R$114)</f>
        <v>#</v>
      </c>
      <c r="T383" s="82" t="str">
        <f>_xll.BLUEMATRIX2("/servlet/excelData",F383,$B$1,$B383&amp;":"&amp;F$115&amp;":"&amp;$R$114)</f>
        <v>#</v>
      </c>
      <c r="U383" s="82" t="str">
        <f>_xll.BLUEMATRIX2("/servlet/excelData",G383,$B$1,$B383&amp;":"&amp;G$115&amp;":"&amp;$R$114)</f>
        <v>#</v>
      </c>
      <c r="V383" s="82" t="str">
        <f>_xll.BLUEMATRIX2("/servlet/excelData",H383,$B$1,$B383&amp;":"&amp;H$115&amp;":"&amp;$R$114)</f>
        <v>#</v>
      </c>
      <c r="W383" s="82" t="str">
        <f>_xll.BLUEMATRIX2("/servlet/excelData",I383,$B$1,$B383&amp;":"&amp;I$115&amp;":"&amp;$R$114)</f>
        <v>#</v>
      </c>
      <c r="X383" s="82" t="str">
        <f>_xll.BLUEMATRIX2("/servlet/excelData",J383,$B$1,$B383&amp;":"&amp;J$115&amp;":"&amp;$R$114)</f>
        <v>#</v>
      </c>
      <c r="Y383" s="82" t="str">
        <f>_xll.BLUEMATRIX2("/servlet/excelData",K383,$B$1,$B383&amp;":"&amp;K$115&amp;":"&amp;$R$114)</f>
        <v>#</v>
      </c>
      <c r="Z383" s="82" t="str">
        <f>_xll.BLUEMATRIX2("/servlet/excelData",L383,$B$1,$B383&amp;":"&amp;L$115&amp;":"&amp;$R$114)</f>
        <v>#</v>
      </c>
      <c r="AA383" s="82" t="str">
        <f>_xll.BLUEMATRIX2("/servlet/excelData",M383,$B$1,$B383&amp;":"&amp;M$115&amp;":"&amp;$R$114)</f>
        <v>#</v>
      </c>
      <c r="AB383" s="82" t="str">
        <f>_xll.BLUEMATRIX2("/servlet/excelData",N383,$B$1,$B383&amp;":"&amp;N$115&amp;":"&amp;$R$114)</f>
        <v>#</v>
      </c>
      <c r="AC383" s="82" t="str">
        <f>_xll.BLUEMATRIX2("/servlet/excelData",O383,$B$1,$B383&amp;":"&amp;O$115&amp;":"&amp;$R$114)</f>
        <v>#</v>
      </c>
      <c r="AD383" s="82" t="str">
        <f>_xll.BLUEMATRIX2("/servlet/excelData",P383,$B$1,$B383&amp;":"&amp;P$115&amp;":"&amp;$R$114)</f>
        <v>#</v>
      </c>
      <c r="AE383" s="82" t="str">
        <f>_xll.BLUEMATRIX2("/servlet/excelData",Q383,$B$1,$B383&amp;":"&amp;Q$115&amp;":"&amp;$R$114)</f>
        <v>#</v>
      </c>
    </row>
    <row r="384" spans="1:31" ht="12.95" customHeight="1" x14ac:dyDescent="0.2">
      <c r="A384" s="26" t="s">
        <v>1165</v>
      </c>
      <c r="B384" s="29" t="s">
        <v>1166</v>
      </c>
      <c r="C384" s="1" t="s">
        <v>1167</v>
      </c>
      <c r="D384" s="147"/>
      <c r="E384" s="147">
        <f t="shared" ref="E384:Q384" si="82">E255+E257+E258+E259</f>
        <v>0</v>
      </c>
      <c r="F384" s="147">
        <f t="shared" si="82"/>
        <v>0</v>
      </c>
      <c r="G384" s="147">
        <f t="shared" si="82"/>
        <v>0</v>
      </c>
      <c r="H384" s="147">
        <f t="shared" si="82"/>
        <v>0.4</v>
      </c>
      <c r="I384" s="147">
        <f t="shared" si="82"/>
        <v>0</v>
      </c>
      <c r="J384" s="147">
        <f t="shared" si="82"/>
        <v>0</v>
      </c>
      <c r="K384" s="147">
        <f t="shared" si="82"/>
        <v>0</v>
      </c>
      <c r="L384" s="147">
        <f t="shared" si="82"/>
        <v>0</v>
      </c>
      <c r="M384" s="147">
        <f t="shared" si="82"/>
        <v>0</v>
      </c>
      <c r="N384" s="147">
        <f t="shared" si="82"/>
        <v>0</v>
      </c>
      <c r="O384" s="147">
        <f t="shared" si="82"/>
        <v>0</v>
      </c>
      <c r="P384" s="147">
        <f t="shared" si="82"/>
        <v>0</v>
      </c>
      <c r="Q384" s="147">
        <f t="shared" si="82"/>
        <v>0</v>
      </c>
      <c r="R384" s="1"/>
      <c r="S384" s="82" t="str">
        <f>_xll.BLUEMATRIX2("/servlet/excelData",E384,$B$1,$B384&amp;":"&amp;E$115&amp;":"&amp;$R$114)</f>
        <v>#</v>
      </c>
      <c r="T384" s="82" t="str">
        <f>_xll.BLUEMATRIX2("/servlet/excelData",F384,$B$1,$B384&amp;":"&amp;F$115&amp;":"&amp;$R$114)</f>
        <v>#</v>
      </c>
      <c r="U384" s="82" t="str">
        <f>_xll.BLUEMATRIX2("/servlet/excelData",G384,$B$1,$B384&amp;":"&amp;G$115&amp;":"&amp;$R$114)</f>
        <v>#</v>
      </c>
      <c r="V384" s="82" t="str">
        <f>_xll.BLUEMATRIX2("/servlet/excelData",H384,$B$1,$B384&amp;":"&amp;H$115&amp;":"&amp;$R$114)</f>
        <v>#</v>
      </c>
      <c r="W384" s="82" t="str">
        <f>_xll.BLUEMATRIX2("/servlet/excelData",I384,$B$1,$B384&amp;":"&amp;I$115&amp;":"&amp;$R$114)</f>
        <v>#</v>
      </c>
      <c r="X384" s="82" t="str">
        <f>_xll.BLUEMATRIX2("/servlet/excelData",J384,$B$1,$B384&amp;":"&amp;J$115&amp;":"&amp;$R$114)</f>
        <v>#</v>
      </c>
      <c r="Y384" s="82" t="str">
        <f>_xll.BLUEMATRIX2("/servlet/excelData",K384,$B$1,$B384&amp;":"&amp;K$115&amp;":"&amp;$R$114)</f>
        <v>#</v>
      </c>
      <c r="Z384" s="82" t="str">
        <f>_xll.BLUEMATRIX2("/servlet/excelData",L384,$B$1,$B384&amp;":"&amp;L$115&amp;":"&amp;$R$114)</f>
        <v>#</v>
      </c>
      <c r="AA384" s="82" t="str">
        <f>_xll.BLUEMATRIX2("/servlet/excelData",M384,$B$1,$B384&amp;":"&amp;M$115&amp;":"&amp;$R$114)</f>
        <v>#</v>
      </c>
      <c r="AB384" s="82" t="str">
        <f>_xll.BLUEMATRIX2("/servlet/excelData",N384,$B$1,$B384&amp;":"&amp;N$115&amp;":"&amp;$R$114)</f>
        <v>#</v>
      </c>
      <c r="AC384" s="82" t="str">
        <f>_xll.BLUEMATRIX2("/servlet/excelData",O384,$B$1,$B384&amp;":"&amp;O$115&amp;":"&amp;$R$114)</f>
        <v>#</v>
      </c>
      <c r="AD384" s="82" t="str">
        <f>_xll.BLUEMATRIX2("/servlet/excelData",P384,$B$1,$B384&amp;":"&amp;P$115&amp;":"&amp;$R$114)</f>
        <v>#</v>
      </c>
      <c r="AE384" s="82" t="str">
        <f>_xll.BLUEMATRIX2("/servlet/excelData",Q384,$B$1,$B384&amp;":"&amp;Q$115&amp;":"&amp;$R$114)</f>
        <v>#</v>
      </c>
    </row>
    <row r="385" spans="1:31" ht="12.95" customHeight="1" x14ac:dyDescent="0.2">
      <c r="A385" s="26" t="s">
        <v>1168</v>
      </c>
      <c r="B385" s="29" t="s">
        <v>1169</v>
      </c>
      <c r="C385" s="1" t="s">
        <v>1170</v>
      </c>
      <c r="D385" s="147"/>
      <c r="E385" s="147">
        <f t="shared" ref="E385:Q385" si="83">E267+E268</f>
        <v>0</v>
      </c>
      <c r="F385" s="147">
        <f t="shared" si="83"/>
        <v>0</v>
      </c>
      <c r="G385" s="147">
        <f t="shared" si="83"/>
        <v>0</v>
      </c>
      <c r="H385" s="147">
        <f t="shared" si="83"/>
        <v>48.9</v>
      </c>
      <c r="I385" s="147">
        <f t="shared" si="83"/>
        <v>-0.1</v>
      </c>
      <c r="J385" s="147">
        <f t="shared" si="83"/>
        <v>0</v>
      </c>
      <c r="K385" s="147">
        <f t="shared" si="83"/>
        <v>0</v>
      </c>
      <c r="L385" s="147">
        <f t="shared" si="83"/>
        <v>0</v>
      </c>
      <c r="M385" s="147">
        <f t="shared" si="83"/>
        <v>0</v>
      </c>
      <c r="N385" s="147">
        <f t="shared" si="83"/>
        <v>0</v>
      </c>
      <c r="O385" s="147">
        <f t="shared" si="83"/>
        <v>0</v>
      </c>
      <c r="P385" s="147">
        <f t="shared" si="83"/>
        <v>0</v>
      </c>
      <c r="Q385" s="147">
        <f t="shared" si="83"/>
        <v>0</v>
      </c>
      <c r="R385" s="1"/>
      <c r="S385" s="82" t="str">
        <f>_xll.BLUEMATRIX2("/servlet/excelData",E385,$B$1,$B385&amp;":"&amp;E$115&amp;":"&amp;$R$114)</f>
        <v>#</v>
      </c>
      <c r="T385" s="82" t="str">
        <f>_xll.BLUEMATRIX2("/servlet/excelData",F385,$B$1,$B385&amp;":"&amp;F$115&amp;":"&amp;$R$114)</f>
        <v>#</v>
      </c>
      <c r="U385" s="82" t="str">
        <f>_xll.BLUEMATRIX2("/servlet/excelData",G385,$B$1,$B385&amp;":"&amp;G$115&amp;":"&amp;$R$114)</f>
        <v>#</v>
      </c>
      <c r="V385" s="82" t="str">
        <f>_xll.BLUEMATRIX2("/servlet/excelData",H385,$B$1,$B385&amp;":"&amp;H$115&amp;":"&amp;$R$114)</f>
        <v>#</v>
      </c>
      <c r="W385" s="82" t="str">
        <f>_xll.BLUEMATRIX2("/servlet/excelData",I385,$B$1,$B385&amp;":"&amp;I$115&amp;":"&amp;$R$114)</f>
        <v>#</v>
      </c>
      <c r="X385" s="82" t="str">
        <f>_xll.BLUEMATRIX2("/servlet/excelData",J385,$B$1,$B385&amp;":"&amp;J$115&amp;":"&amp;$R$114)</f>
        <v>#</v>
      </c>
      <c r="Y385" s="82" t="str">
        <f>_xll.BLUEMATRIX2("/servlet/excelData",K385,$B$1,$B385&amp;":"&amp;K$115&amp;":"&amp;$R$114)</f>
        <v>#</v>
      </c>
      <c r="Z385" s="82" t="str">
        <f>_xll.BLUEMATRIX2("/servlet/excelData",L385,$B$1,$B385&amp;":"&amp;L$115&amp;":"&amp;$R$114)</f>
        <v>#</v>
      </c>
      <c r="AA385" s="82" t="str">
        <f>_xll.BLUEMATRIX2("/servlet/excelData",M385,$B$1,$B385&amp;":"&amp;M$115&amp;":"&amp;$R$114)</f>
        <v>#</v>
      </c>
      <c r="AB385" s="82" t="str">
        <f>_xll.BLUEMATRIX2("/servlet/excelData",N385,$B$1,$B385&amp;":"&amp;N$115&amp;":"&amp;$R$114)</f>
        <v>#</v>
      </c>
      <c r="AC385" s="82" t="str">
        <f>_xll.BLUEMATRIX2("/servlet/excelData",O385,$B$1,$B385&amp;":"&amp;O$115&amp;":"&amp;$R$114)</f>
        <v>#</v>
      </c>
      <c r="AD385" s="82" t="str">
        <f>_xll.BLUEMATRIX2("/servlet/excelData",P385,$B$1,$B385&amp;":"&amp;P$115&amp;":"&amp;$R$114)</f>
        <v>#</v>
      </c>
      <c r="AE385" s="82" t="str">
        <f>_xll.BLUEMATRIX2("/servlet/excelData",Q385,$B$1,$B385&amp;":"&amp;Q$115&amp;":"&amp;$R$114)</f>
        <v>#</v>
      </c>
    </row>
    <row r="386" spans="1:31" ht="12.95" customHeight="1" x14ac:dyDescent="0.2">
      <c r="A386" s="26" t="s">
        <v>1171</v>
      </c>
      <c r="B386" s="29" t="s">
        <v>1172</v>
      </c>
      <c r="C386" s="1" t="s">
        <v>101</v>
      </c>
      <c r="D386" s="147"/>
      <c r="E386" s="147">
        <f t="shared" ref="E386:Q386" si="84">E260+E261+E270+E271</f>
        <v>0</v>
      </c>
      <c r="F386" s="147">
        <f t="shared" si="84"/>
        <v>0</v>
      </c>
      <c r="G386" s="147">
        <f t="shared" si="84"/>
        <v>-1</v>
      </c>
      <c r="H386" s="147">
        <f t="shared" si="84"/>
        <v>-0.19999999999999929</v>
      </c>
      <c r="I386" s="147">
        <f t="shared" si="84"/>
        <v>-1.2</v>
      </c>
      <c r="J386" s="147">
        <f t="shared" si="84"/>
        <v>0</v>
      </c>
      <c r="K386" s="147">
        <f t="shared" si="84"/>
        <v>0</v>
      </c>
      <c r="L386" s="147">
        <f t="shared" si="84"/>
        <v>0</v>
      </c>
      <c r="M386" s="147">
        <f t="shared" si="84"/>
        <v>0</v>
      </c>
      <c r="N386" s="147">
        <f t="shared" si="84"/>
        <v>0</v>
      </c>
      <c r="O386" s="147">
        <f t="shared" si="84"/>
        <v>0</v>
      </c>
      <c r="P386" s="147">
        <f t="shared" si="84"/>
        <v>0</v>
      </c>
      <c r="Q386" s="147">
        <f t="shared" si="84"/>
        <v>0</v>
      </c>
      <c r="R386" s="1"/>
      <c r="S386" s="82" t="str">
        <f>_xll.BLUEMATRIX2("/servlet/excelData",E386,$B$1,$B386&amp;":"&amp;E$115&amp;":"&amp;$R$114)</f>
        <v>#</v>
      </c>
      <c r="T386" s="82" t="str">
        <f>_xll.BLUEMATRIX2("/servlet/excelData",F386,$B$1,$B386&amp;":"&amp;F$115&amp;":"&amp;$R$114)</f>
        <v>#</v>
      </c>
      <c r="U386" s="82" t="str">
        <f>_xll.BLUEMATRIX2("/servlet/excelData",G386,$B$1,$B386&amp;":"&amp;G$115&amp;":"&amp;$R$114)</f>
        <v>#</v>
      </c>
      <c r="V386" s="82" t="str">
        <f>_xll.BLUEMATRIX2("/servlet/excelData",H386,$B$1,$B386&amp;":"&amp;H$115&amp;":"&amp;$R$114)</f>
        <v>#</v>
      </c>
      <c r="W386" s="82" t="str">
        <f>_xll.BLUEMATRIX2("/servlet/excelData",I386,$B$1,$B386&amp;":"&amp;I$115&amp;":"&amp;$R$114)</f>
        <v>#</v>
      </c>
      <c r="X386" s="82" t="str">
        <f>_xll.BLUEMATRIX2("/servlet/excelData",J386,$B$1,$B386&amp;":"&amp;J$115&amp;":"&amp;$R$114)</f>
        <v>#</v>
      </c>
      <c r="Y386" s="82" t="str">
        <f>_xll.BLUEMATRIX2("/servlet/excelData",K386,$B$1,$B386&amp;":"&amp;K$115&amp;":"&amp;$R$114)</f>
        <v>#</v>
      </c>
      <c r="Z386" s="82" t="str">
        <f>_xll.BLUEMATRIX2("/servlet/excelData",L386,$B$1,$B386&amp;":"&amp;L$115&amp;":"&amp;$R$114)</f>
        <v>#</v>
      </c>
      <c r="AA386" s="82" t="str">
        <f>_xll.BLUEMATRIX2("/servlet/excelData",M386,$B$1,$B386&amp;":"&amp;M$115&amp;":"&amp;$R$114)</f>
        <v>#</v>
      </c>
      <c r="AB386" s="82" t="str">
        <f>_xll.BLUEMATRIX2("/servlet/excelData",N386,$B$1,$B386&amp;":"&amp;N$115&amp;":"&amp;$R$114)</f>
        <v>#</v>
      </c>
      <c r="AC386" s="82" t="str">
        <f>_xll.BLUEMATRIX2("/servlet/excelData",O386,$B$1,$B386&amp;":"&amp;O$115&amp;":"&amp;$R$114)</f>
        <v>#</v>
      </c>
      <c r="AD386" s="82" t="str">
        <f>_xll.BLUEMATRIX2("/servlet/excelData",P386,$B$1,$B386&amp;":"&amp;P$115&amp;":"&amp;$R$114)</f>
        <v>#</v>
      </c>
      <c r="AE386" s="82" t="str">
        <f>_xll.BLUEMATRIX2("/servlet/excelData",Q386,$B$1,$B386&amp;":"&amp;Q$115&amp;":"&amp;$R$114)</f>
        <v>#</v>
      </c>
    </row>
    <row r="387" spans="1:31" ht="12.95" customHeight="1" x14ac:dyDescent="0.2">
      <c r="A387" s="26"/>
      <c r="B387" s="26"/>
      <c r="C387" s="26"/>
      <c r="D387" s="26"/>
      <c r="E387" s="26"/>
      <c r="F387" s="26"/>
      <c r="G387" s="26"/>
      <c r="H387" s="26"/>
      <c r="I387" s="26"/>
      <c r="J387" s="26"/>
      <c r="K387" s="26"/>
      <c r="L387" s="26"/>
      <c r="M387" s="26"/>
      <c r="N387" s="26"/>
      <c r="O387" s="26"/>
      <c r="P387" s="26"/>
      <c r="Q387" s="26"/>
      <c r="R387" s="1"/>
    </row>
    <row r="388" spans="1:31" ht="12.95" customHeight="1" x14ac:dyDescent="0.2">
      <c r="A388" s="26"/>
      <c r="B388" s="26"/>
      <c r="C388" s="26"/>
      <c r="D388" s="26"/>
      <c r="E388" s="26"/>
      <c r="F388" s="26"/>
      <c r="G388" s="26"/>
      <c r="H388" s="26"/>
      <c r="I388" s="26"/>
      <c r="J388" s="26"/>
      <c r="K388" s="26"/>
      <c r="L388" s="26"/>
      <c r="M388" s="26"/>
      <c r="N388" s="26"/>
      <c r="O388" s="26"/>
      <c r="P388" s="26"/>
      <c r="Q388" s="26"/>
      <c r="R388" s="1"/>
    </row>
    <row r="389" spans="1:31" ht="12.95" customHeight="1" x14ac:dyDescent="0.2">
      <c r="A389" s="1"/>
      <c r="B389" s="1"/>
      <c r="C389" s="1"/>
      <c r="D389" s="1"/>
      <c r="E389" s="1"/>
      <c r="F389" s="1"/>
      <c r="G389" s="1"/>
      <c r="H389" s="1"/>
      <c r="I389" s="1"/>
      <c r="J389" s="1"/>
      <c r="K389" s="1"/>
      <c r="L389" s="1"/>
      <c r="M389" s="1"/>
      <c r="N389" s="1"/>
      <c r="O389" s="1"/>
      <c r="P389" s="1"/>
      <c r="Q389" s="1"/>
      <c r="R389" s="1"/>
    </row>
    <row r="390" spans="1:31" ht="12.95" customHeight="1" x14ac:dyDescent="0.2">
      <c r="A390" s="195" t="s">
        <v>1173</v>
      </c>
      <c r="B390" s="195"/>
      <c r="C390" s="1"/>
      <c r="D390" s="1"/>
      <c r="E390" s="1"/>
      <c r="F390" s="1"/>
      <c r="G390" s="1"/>
      <c r="H390" s="1"/>
      <c r="I390" s="1"/>
      <c r="J390" s="1"/>
      <c r="K390" s="1"/>
      <c r="L390" s="1"/>
      <c r="M390" s="1"/>
      <c r="N390" s="1"/>
      <c r="O390" s="1"/>
      <c r="P390" s="1"/>
      <c r="Q390" s="1"/>
      <c r="R390" s="1"/>
    </row>
    <row r="391" spans="1:31" x14ac:dyDescent="0.2">
      <c r="A391" s="1"/>
      <c r="B391" s="1"/>
      <c r="C391" s="1"/>
      <c r="D391" s="1"/>
      <c r="E391" s="1"/>
      <c r="F391" s="1"/>
      <c r="G391" s="1"/>
      <c r="H391" s="1"/>
      <c r="I391" s="1"/>
      <c r="J391" s="1"/>
      <c r="K391" s="1"/>
      <c r="L391" s="1"/>
      <c r="M391" s="1"/>
      <c r="N391" s="1"/>
      <c r="O391" s="1"/>
      <c r="P391" s="1"/>
      <c r="Q391" s="1"/>
      <c r="R391" s="1"/>
    </row>
  </sheetData>
  <dataValidations disablePrompts="1" count="7">
    <dataValidation type="list" allowBlank="1" showInputMessage="1" showErrorMessage="1" sqref="D57 D59" xr:uid="{00000000-0002-0000-0100-000000000000}">
      <formula1>"Gross Profit,EBITDA,EBITA,EBIT,Operating Profit,PBT,NPAT,Revenue"</formula1>
    </dataValidation>
    <dataValidation type="list" allowBlank="1" showInputMessage="1" showErrorMessage="1" sqref="D65613 D65615 D131149 D131151 D196685 D196687 D262221 D262223 D327757 D327759 D393293 D393295 D458829 D458831 D524365 D524367 D589901 D589903 D655437 D655439 D720973 D720975 D786509 D786511 D852045 D852047 D917581 D917583 D983117 D983119 IE57 IE59 IE65613 IE65615 IE131149 IE131151 IE196685 IE196687 IE262221 IE262223 IE327757 IE327759 IE393293 IE393295 IE458829 IE458831 IE524365 IE524367 IE589901 IE589903 IE655437 IE655439 IE720973 IE720975 IE786509 IE786511 IE852045 IE852047 IE917581 IE917583 IE983117 IE983119 SA57 SA59 SA65613 SA65615 SA131149 SA131151 SA196685 SA196687 SA262221 SA262223 SA327757 SA327759 SA393293 SA393295 SA458829 SA458831 SA524365 SA524367 SA589901 SA589903 SA655437 SA655439 SA720973 SA720975 SA786509 SA786511 SA852045 SA852047 SA917581 SA917583 SA983117 SA983119 ABW57 ABW59 ABW65613 ABW65615 ABW131149 ABW131151 ABW196685 ABW196687 ABW262221 ABW262223 ABW327757 ABW327759 ABW393293 ABW393295 ABW458829 ABW458831 ABW524365 ABW524367 ABW589901 ABW589903 ABW655437 ABW655439 ABW720973 ABW720975 ABW786509 ABW786511 ABW852045 ABW852047 ABW917581 ABW917583 ABW983117 ABW983119 ALS57 ALS59 ALS65613 ALS65615 ALS131149 ALS131151 ALS196685 ALS196687 ALS262221 ALS262223 ALS327757 ALS327759 ALS393293 ALS393295 ALS458829 ALS458831 ALS524365 ALS524367 ALS589901 ALS589903 ALS655437 ALS655439 ALS720973 ALS720975 ALS786509 ALS786511 ALS852045 ALS852047 ALS917581 ALS917583 ALS983117 ALS983119 AVO57 AVO59 AVO65613 AVO65615 AVO131149 AVO131151 AVO196685 AVO196687 AVO262221 AVO262223 AVO327757 AVO327759 AVO393293 AVO393295 AVO458829 AVO458831 AVO524365 AVO524367 AVO589901 AVO589903 AVO655437 AVO655439 AVO720973 AVO720975 AVO786509 AVO786511 AVO852045 AVO852047 AVO917581 AVO917583 AVO983117 AVO983119 BFK57 BFK59 BFK65613 BFK65615 BFK131149 BFK131151 BFK196685 BFK196687 BFK262221 BFK262223 BFK327757 BFK327759 BFK393293 BFK393295 BFK458829 BFK458831 BFK524365 BFK524367 BFK589901 BFK589903 BFK655437 BFK655439 BFK720973 BFK720975 BFK786509 BFK786511 BFK852045 BFK852047 BFK917581 BFK917583 BFK983117 BFK983119 BPG57 BPG59 BPG65613 BPG65615 BPG131149 BPG131151 BPG196685 BPG196687 BPG262221 BPG262223 BPG327757 BPG327759 BPG393293 BPG393295 BPG458829 BPG458831 BPG524365 BPG524367 BPG589901 BPG589903 BPG655437 BPG655439 BPG720973 BPG720975 BPG786509 BPG786511 BPG852045 BPG852047 BPG917581 BPG917583 BPG983117 BPG983119 BZC57 BZC59 BZC65613 BZC65615 BZC131149 BZC131151 BZC196685 BZC196687 BZC262221 BZC262223 BZC327757 BZC327759 BZC393293 BZC393295 BZC458829 BZC458831 BZC524365 BZC524367 BZC589901 BZC589903 BZC655437 BZC655439 BZC720973 BZC720975 BZC786509 BZC786511 BZC852045 BZC852047 BZC917581 BZC917583 BZC983117 BZC983119 CIY57 CIY59 CIY65613 CIY65615 CIY131149 CIY131151 CIY196685 CIY196687 CIY262221 CIY262223 CIY327757 CIY327759 CIY393293 CIY393295 CIY458829 CIY458831 CIY524365 CIY524367 CIY589901 CIY589903 CIY655437 CIY655439 CIY720973 CIY720975 CIY786509 CIY786511 CIY852045 CIY852047 CIY917581 CIY917583 CIY983117 CIY983119 CSU57 CSU59 CSU65613 CSU65615 CSU131149 CSU131151 CSU196685 CSU196687 CSU262221 CSU262223 CSU327757 CSU327759 CSU393293 CSU393295 CSU458829 CSU458831 CSU524365 CSU524367 CSU589901 CSU589903 CSU655437 CSU655439 CSU720973 CSU720975 CSU786509 CSU786511 CSU852045 CSU852047 CSU917581 CSU917583 CSU983117 CSU983119 DCQ57 DCQ59 DCQ65613 DCQ65615 DCQ131149 DCQ131151 DCQ196685 DCQ196687 DCQ262221 DCQ262223 DCQ327757 DCQ327759 DCQ393293 DCQ393295 DCQ458829 DCQ458831 DCQ524365 DCQ524367 DCQ589901 DCQ589903 DCQ655437 DCQ655439 DCQ720973 DCQ720975 DCQ786509 DCQ786511 DCQ852045 DCQ852047 DCQ917581 DCQ917583 DCQ983117 DCQ983119 DMM57 DMM59 DMM65613 DMM65615 DMM131149 DMM131151 DMM196685 DMM196687 DMM262221 DMM262223 DMM327757 DMM327759 DMM393293 DMM393295 DMM458829 DMM458831 DMM524365 DMM524367 DMM589901 DMM589903 DMM655437 DMM655439 DMM720973 DMM720975 DMM786509 DMM786511 DMM852045 DMM852047 DMM917581 DMM917583 DMM983117 DMM983119 DWI57 DWI59 DWI65613 DWI65615 DWI131149 DWI131151 DWI196685 DWI196687 DWI262221 DWI262223 DWI327757 DWI327759 DWI393293 DWI393295 DWI458829 DWI458831 DWI524365 DWI524367 DWI589901 DWI589903 DWI655437 DWI655439 DWI720973 DWI720975 DWI786509 DWI786511 DWI852045 DWI852047 DWI917581 DWI917583 DWI983117 DWI983119 EGE57 EGE59 EGE65613 EGE65615 EGE131149 EGE131151 EGE196685 EGE196687 EGE262221 EGE262223 EGE327757 EGE327759 EGE393293 EGE393295 EGE458829 EGE458831 EGE524365 EGE524367 EGE589901 EGE589903 EGE655437 EGE655439 EGE720973 EGE720975 EGE786509 EGE786511 EGE852045 EGE852047 EGE917581 EGE917583 EGE983117 EGE983119 EQA57 EQA59 EQA65613 EQA65615 EQA131149 EQA131151 EQA196685 EQA196687 EQA262221 EQA262223 EQA327757 EQA327759 EQA393293 EQA393295 EQA458829 EQA458831 EQA524365 EQA524367 EQA589901 EQA589903 EQA655437 EQA655439 EQA720973 EQA720975 EQA786509 EQA786511 EQA852045 EQA852047 EQA917581 EQA917583 EQA983117 EQA983119 EZW57 EZW59 EZW65613 EZW65615 EZW131149 EZW131151 EZW196685 EZW196687 EZW262221 EZW262223 EZW327757 EZW327759 EZW393293 EZW393295 EZW458829 EZW458831 EZW524365 EZW524367 EZW589901 EZW589903 EZW655437 EZW655439 EZW720973 EZW720975 EZW786509 EZW786511 EZW852045 EZW852047 EZW917581 EZW917583 EZW983117 EZW983119 FJS57 FJS59 FJS65613 FJS65615 FJS131149 FJS131151 FJS196685 FJS196687 FJS262221 FJS262223 FJS327757 FJS327759 FJS393293 FJS393295 FJS458829 FJS458831 FJS524365 FJS524367 FJS589901 FJS589903 FJS655437 FJS655439 FJS720973 FJS720975 FJS786509 FJS786511 FJS852045 FJS852047 FJS917581 FJS917583 FJS983117 FJS983119 FTO57 FTO59 FTO65613 FTO65615 FTO131149 FTO131151 FTO196685 FTO196687 FTO262221 FTO262223 FTO327757 FTO327759 FTO393293 FTO393295 FTO458829 FTO458831 FTO524365 FTO524367 FTO589901 FTO589903 FTO655437 FTO655439 FTO720973 FTO720975 FTO786509 FTO786511 FTO852045 FTO852047 FTO917581 FTO917583 FTO983117 FTO983119 GDK57 GDK59 GDK65613 GDK65615 GDK131149 GDK131151 GDK196685 GDK196687 GDK262221 GDK262223 GDK327757 GDK327759 GDK393293 GDK393295 GDK458829 GDK458831 GDK524365 GDK524367 GDK589901 GDK589903 GDK655437 GDK655439 GDK720973 GDK720975 GDK786509 GDK786511 GDK852045 GDK852047 GDK917581 GDK917583 GDK983117 GDK983119 GNG57 GNG59 GNG65613 GNG65615 GNG131149 GNG131151 GNG196685 GNG196687 GNG262221 GNG262223 GNG327757 GNG327759 GNG393293 GNG393295 GNG458829 GNG458831 GNG524365 GNG524367 GNG589901 GNG589903 GNG655437 GNG655439 GNG720973 GNG720975 GNG786509 GNG786511 GNG852045 GNG852047 GNG917581 GNG917583 GNG983117 GNG983119 GXC57 GXC59 GXC65613 GXC65615 GXC131149 GXC131151 GXC196685 GXC196687 GXC262221 GXC262223 GXC327757 GXC327759 GXC393293 GXC393295 GXC458829 GXC458831 GXC524365 GXC524367 GXC589901 GXC589903 GXC655437 GXC655439 GXC720973 GXC720975 GXC786509 GXC786511 GXC852045 GXC852047 GXC917581 GXC917583 GXC983117 GXC983119 HGY57 HGY59 HGY65613 HGY65615 HGY131149 HGY131151 HGY196685 HGY196687 HGY262221 HGY262223 HGY327757 HGY327759 HGY393293 HGY393295 HGY458829 HGY458831 HGY524365 HGY524367 HGY589901 HGY589903 HGY655437 HGY655439 HGY720973 HGY720975 HGY786509 HGY786511 HGY852045 HGY852047 HGY917581 HGY917583 HGY983117 HGY983119 HQU57 HQU59 HQU65613 HQU65615 HQU131149 HQU131151 HQU196685 HQU196687 HQU262221 HQU262223 HQU327757 HQU327759 HQU393293 HQU393295 HQU458829 HQU458831 HQU524365 HQU524367 HQU589901 HQU589903 HQU655437 HQU655439 HQU720973 HQU720975 HQU786509 HQU786511 HQU852045 HQU852047 HQU917581 HQU917583 HQU983117 HQU983119 IAQ57 IAQ59 IAQ65613 IAQ65615 IAQ131149 IAQ131151 IAQ196685 IAQ196687 IAQ262221 IAQ262223 IAQ327757 IAQ327759 IAQ393293 IAQ393295 IAQ458829 IAQ458831 IAQ524365 IAQ524367 IAQ589901 IAQ589903 IAQ655437 IAQ655439 IAQ720973 IAQ720975 IAQ786509 IAQ786511 IAQ852045 IAQ852047 IAQ917581 IAQ917583 IAQ983117 IAQ983119 IKM57 IKM59 IKM65613 IKM65615 IKM131149 IKM131151 IKM196685 IKM196687 IKM262221 IKM262223 IKM327757 IKM327759 IKM393293 IKM393295 IKM458829 IKM458831 IKM524365 IKM524367 IKM589901 IKM589903 IKM655437 IKM655439 IKM720973 IKM720975 IKM786509 IKM786511 IKM852045 IKM852047 IKM917581 IKM917583 IKM983117 IKM983119 IUI57 IUI59 IUI65613 IUI65615 IUI131149 IUI131151 IUI196685 IUI196687 IUI262221 IUI262223 IUI327757 IUI327759 IUI393293 IUI393295 IUI458829 IUI458831 IUI524365 IUI524367 IUI589901 IUI589903 IUI655437 IUI655439 IUI720973 IUI720975 IUI786509 IUI786511 IUI852045 IUI852047 IUI917581 IUI917583 IUI983117 IUI983119 JEE57 JEE59 JEE65613 JEE65615 JEE131149 JEE131151 JEE196685 JEE196687 JEE262221 JEE262223 JEE327757 JEE327759 JEE393293 JEE393295 JEE458829 JEE458831 JEE524365 JEE524367 JEE589901 JEE589903 JEE655437 JEE655439 JEE720973 JEE720975 JEE786509 JEE786511 JEE852045 JEE852047 JEE917581 JEE917583 JEE983117 JEE983119 JOA57 JOA59 JOA65613 JOA65615 JOA131149 JOA131151 JOA196685 JOA196687 JOA262221 JOA262223 JOA327757 JOA327759 JOA393293 JOA393295 JOA458829 JOA458831 JOA524365 JOA524367 JOA589901 JOA589903 JOA655437 JOA655439 JOA720973 JOA720975 JOA786509 JOA786511 JOA852045 JOA852047 JOA917581 JOA917583 JOA983117 JOA983119 JXW57 JXW59 JXW65613 JXW65615 JXW131149 JXW131151 JXW196685 JXW196687 JXW262221 JXW262223 JXW327757 JXW327759 JXW393293 JXW393295 JXW458829 JXW458831 JXW524365 JXW524367 JXW589901 JXW589903 JXW655437 JXW655439 JXW720973 JXW720975 JXW786509 JXW786511 JXW852045 JXW852047 JXW917581 JXW917583 JXW983117 JXW983119 KHS57 KHS59 KHS65613 KHS65615 KHS131149 KHS131151 KHS196685 KHS196687 KHS262221 KHS262223 KHS327757 KHS327759 KHS393293 KHS393295 KHS458829 KHS458831 KHS524365 KHS524367 KHS589901 KHS589903 KHS655437 KHS655439 KHS720973 KHS720975 KHS786509 KHS786511 KHS852045 KHS852047 KHS917581 KHS917583 KHS983117 KHS983119 KRO57 KRO59 KRO65613 KRO65615 KRO131149 KRO131151 KRO196685 KRO196687 KRO262221 KRO262223 KRO327757 KRO327759 KRO393293 KRO393295 KRO458829 KRO458831 KRO524365 KRO524367 KRO589901 KRO589903 KRO655437 KRO655439 KRO720973 KRO720975 KRO786509 KRO786511 KRO852045 KRO852047 KRO917581 KRO917583 KRO983117 KRO983119 LBK57 LBK59 LBK65613 LBK65615 LBK131149 LBK131151 LBK196685 LBK196687 LBK262221 LBK262223 LBK327757 LBK327759 LBK393293 LBK393295 LBK458829 LBK458831 LBK524365 LBK524367 LBK589901 LBK589903 LBK655437 LBK655439 LBK720973 LBK720975 LBK786509 LBK786511 LBK852045 LBK852047 LBK917581 LBK917583 LBK983117 LBK983119 LLG57 LLG59 LLG65613 LLG65615 LLG131149 LLG131151 LLG196685 LLG196687 LLG262221 LLG262223 LLG327757 LLG327759 LLG393293 LLG393295 LLG458829 LLG458831 LLG524365 LLG524367 LLG589901 LLG589903 LLG655437 LLG655439 LLG720973 LLG720975 LLG786509 LLG786511 LLG852045 LLG852047 LLG917581 LLG917583 LLG983117 LLG983119 LVC57 LVC59 LVC65613 LVC65615 LVC131149 LVC131151 LVC196685 LVC196687 LVC262221 LVC262223 LVC327757 LVC327759 LVC393293 LVC393295 LVC458829 LVC458831 LVC524365 LVC524367 LVC589901 LVC589903 LVC655437 LVC655439 LVC720973 LVC720975 LVC786509 LVC786511 LVC852045 LVC852047 LVC917581 LVC917583 LVC983117 LVC983119 MEY57 MEY59 MEY65613 MEY65615 MEY131149 MEY131151 MEY196685 MEY196687 MEY262221 MEY262223 MEY327757 MEY327759 MEY393293 MEY393295 MEY458829 MEY458831 MEY524365 MEY524367 MEY589901 MEY589903 MEY655437 MEY655439 MEY720973 MEY720975 MEY786509 MEY786511 MEY852045 MEY852047 MEY917581 MEY917583 MEY983117 MEY983119 MOU57 MOU59 MOU65613 MOU65615 MOU131149 MOU131151 MOU196685 MOU196687 MOU262221 MOU262223 MOU327757 MOU327759 MOU393293 MOU393295 MOU458829 MOU458831 MOU524365 MOU524367 MOU589901 MOU589903 MOU655437 MOU655439 MOU720973 MOU720975 MOU786509 MOU786511 MOU852045 MOU852047 MOU917581 MOU917583 MOU983117 MOU983119 MYQ57 MYQ59 MYQ65613 MYQ65615 MYQ131149 MYQ131151 MYQ196685 MYQ196687 MYQ262221 MYQ262223 MYQ327757 MYQ327759 MYQ393293 MYQ393295 MYQ458829 MYQ458831 MYQ524365 MYQ524367 MYQ589901 MYQ589903 MYQ655437 MYQ655439 MYQ720973 MYQ720975 MYQ786509 MYQ786511 MYQ852045 MYQ852047 MYQ917581 MYQ917583 MYQ983117 MYQ983119 NIM57 NIM59 NIM65613 NIM65615 NIM131149 NIM131151 NIM196685 NIM196687 NIM262221 NIM262223 NIM327757 NIM327759 NIM393293 NIM393295 NIM458829 NIM458831 NIM524365 NIM524367 NIM589901 NIM589903 NIM655437 NIM655439 NIM720973 NIM720975 NIM786509 NIM786511 NIM852045 NIM852047 NIM917581 NIM917583 NIM983117 NIM983119 NSI57 NSI59 NSI65613 NSI65615 NSI131149 NSI131151 NSI196685 NSI196687 NSI262221 NSI262223 NSI327757 NSI327759 NSI393293 NSI393295 NSI458829 NSI458831 NSI524365 NSI524367 NSI589901 NSI589903 NSI655437 NSI655439 NSI720973 NSI720975 NSI786509 NSI786511 NSI852045 NSI852047 NSI917581 NSI917583 NSI983117 NSI983119 OCE57 OCE59 OCE65613 OCE65615 OCE131149 OCE131151 OCE196685 OCE196687 OCE262221 OCE262223 OCE327757 OCE327759 OCE393293 OCE393295 OCE458829 OCE458831 OCE524365 OCE524367 OCE589901 OCE589903 OCE655437 OCE655439 OCE720973 OCE720975 OCE786509 OCE786511 OCE852045 OCE852047 OCE917581 OCE917583 OCE983117 OCE983119 OMA57 OMA59 OMA65613 OMA65615 OMA131149 OMA131151 OMA196685 OMA196687 OMA262221 OMA262223 OMA327757 OMA327759 OMA393293 OMA393295 OMA458829 OMA458831 OMA524365 OMA524367 OMA589901 OMA589903 OMA655437 OMA655439 OMA720973 OMA720975 OMA786509 OMA786511 OMA852045 OMA852047 OMA917581 OMA917583 OMA983117 OMA983119 OVW57 OVW59 OVW65613 OVW65615 OVW131149 OVW131151 OVW196685 OVW196687 OVW262221 OVW262223 OVW327757 OVW327759 OVW393293 OVW393295 OVW458829 OVW458831 OVW524365 OVW524367 OVW589901 OVW589903 OVW655437 OVW655439 OVW720973 OVW720975 OVW786509 OVW786511 OVW852045 OVW852047 OVW917581 OVW917583 OVW983117 OVW983119 PFS57 PFS59 PFS65613 PFS65615 PFS131149 PFS131151 PFS196685 PFS196687 PFS262221 PFS262223 PFS327757 PFS327759 PFS393293 PFS393295 PFS458829 PFS458831 PFS524365 PFS524367 PFS589901 PFS589903 PFS655437 PFS655439 PFS720973 PFS720975 PFS786509 PFS786511 PFS852045 PFS852047 PFS917581 PFS917583 PFS983117 PFS983119 PPO57 PPO59 PPO65613 PPO65615 PPO131149 PPO131151 PPO196685 PPO196687 PPO262221 PPO262223 PPO327757 PPO327759 PPO393293 PPO393295 PPO458829 PPO458831 PPO524365 PPO524367 PPO589901 PPO589903 PPO655437 PPO655439 PPO720973 PPO720975 PPO786509 PPO786511 PPO852045 PPO852047 PPO917581 PPO917583 PPO983117 PPO983119 PZK57 PZK59 PZK65613 PZK65615 PZK131149 PZK131151 PZK196685 PZK196687 PZK262221 PZK262223 PZK327757 PZK327759 PZK393293 PZK393295 PZK458829 PZK458831 PZK524365 PZK524367 PZK589901 PZK589903 PZK655437 PZK655439 PZK720973 PZK720975 PZK786509 PZK786511 PZK852045 PZK852047 PZK917581 PZK917583 PZK983117 PZK983119 QJG57 QJG59 QJG65613 QJG65615 QJG131149 QJG131151 QJG196685 QJG196687 QJG262221 QJG262223 QJG327757 QJG327759 QJG393293 QJG393295 QJG458829 QJG458831 QJG524365 QJG524367 QJG589901 QJG589903 QJG655437 QJG655439 QJG720973 QJG720975 QJG786509 QJG786511 QJG852045 QJG852047 QJG917581 QJG917583 QJG983117 QJG983119 QTC57 QTC59 QTC65613 QTC65615 QTC131149 QTC131151 QTC196685 QTC196687 QTC262221 QTC262223 QTC327757 QTC327759 QTC393293 QTC393295 QTC458829 QTC458831 QTC524365 QTC524367 QTC589901 QTC589903 QTC655437 QTC655439 QTC720973 QTC720975 QTC786509 QTC786511 QTC852045 QTC852047 QTC917581 QTC917583 QTC983117 QTC983119 RCY57 RCY59 RCY65613 RCY65615 RCY131149 RCY131151 RCY196685 RCY196687 RCY262221 RCY262223 RCY327757 RCY327759 RCY393293 RCY393295 RCY458829 RCY458831 RCY524365 RCY524367 RCY589901 RCY589903 RCY655437 RCY655439 RCY720973 RCY720975 RCY786509 RCY786511 RCY852045 RCY852047 RCY917581 RCY917583 RCY983117 RCY983119 RMU57 RMU59 RMU65613 RMU65615 RMU131149 RMU131151 RMU196685 RMU196687 RMU262221 RMU262223 RMU327757 RMU327759 RMU393293 RMU393295 RMU458829 RMU458831 RMU524365 RMU524367 RMU589901 RMU589903 RMU655437 RMU655439 RMU720973 RMU720975 RMU786509 RMU786511 RMU852045 RMU852047 RMU917581 RMU917583 RMU983117 RMU983119 RWQ57 RWQ59 RWQ65613 RWQ65615 RWQ131149 RWQ131151 RWQ196685 RWQ196687 RWQ262221 RWQ262223 RWQ327757 RWQ327759 RWQ393293 RWQ393295 RWQ458829 RWQ458831 RWQ524365 RWQ524367 RWQ589901 RWQ589903 RWQ655437 RWQ655439 RWQ720973 RWQ720975 RWQ786509 RWQ786511 RWQ852045 RWQ852047 RWQ917581 RWQ917583 RWQ983117 RWQ983119 SGM57 SGM59 SGM65613 SGM65615 SGM131149 SGM131151 SGM196685 SGM196687 SGM262221 SGM262223 SGM327757 SGM327759 SGM393293 SGM393295 SGM458829 SGM458831 SGM524365 SGM524367 SGM589901 SGM589903 SGM655437 SGM655439 SGM720973 SGM720975 SGM786509 SGM786511 SGM852045 SGM852047 SGM917581 SGM917583 SGM983117 SGM983119 SQI57 SQI59 SQI65613 SQI65615 SQI131149 SQI131151 SQI196685 SQI196687 SQI262221 SQI262223 SQI327757 SQI327759 SQI393293 SQI393295 SQI458829 SQI458831 SQI524365 SQI524367 SQI589901 SQI589903 SQI655437 SQI655439 SQI720973 SQI720975 SQI786509 SQI786511 SQI852045 SQI852047 SQI917581 SQI917583 SQI983117 SQI983119 TAE57 TAE59 TAE65613 TAE65615 TAE131149 TAE131151 TAE196685 TAE196687 TAE262221 TAE262223 TAE327757 TAE327759 TAE393293 TAE393295 TAE458829 TAE458831 TAE524365 TAE524367 TAE589901 TAE589903 TAE655437 TAE655439 TAE720973 TAE720975 TAE786509 TAE786511 TAE852045 TAE852047 TAE917581 TAE917583 TAE983117 TAE983119 TKA57 TKA59 TKA65613 TKA65615 TKA131149 TKA131151 TKA196685 TKA196687 TKA262221 TKA262223 TKA327757 TKA327759 TKA393293 TKA393295 TKA458829 TKA458831 TKA524365 TKA524367 TKA589901 TKA589903 TKA655437 TKA655439 TKA720973 TKA720975 TKA786509 TKA786511 TKA852045 TKA852047 TKA917581 TKA917583 TKA983117 TKA983119 TTW57 TTW59 TTW65613 TTW65615 TTW131149 TTW131151 TTW196685 TTW196687 TTW262221 TTW262223 TTW327757 TTW327759 TTW393293 TTW393295 TTW458829 TTW458831 TTW524365 TTW524367 TTW589901 TTW589903 TTW655437 TTW655439 TTW720973 TTW720975 TTW786509 TTW786511 TTW852045 TTW852047 TTW917581 TTW917583 TTW983117 TTW983119 UDS57 UDS59 UDS65613 UDS65615 UDS131149 UDS131151 UDS196685 UDS196687 UDS262221 UDS262223 UDS327757 UDS327759 UDS393293 UDS393295 UDS458829 UDS458831 UDS524365 UDS524367 UDS589901 UDS589903 UDS655437 UDS655439 UDS720973 UDS720975 UDS786509 UDS786511 UDS852045 UDS852047 UDS917581 UDS917583 UDS983117 UDS983119 UNO57 UNO59 UNO65613 UNO65615 UNO131149 UNO131151 UNO196685 UNO196687 UNO262221 UNO262223 UNO327757 UNO327759 UNO393293 UNO393295 UNO458829 UNO458831 UNO524365 UNO524367 UNO589901 UNO589903 UNO655437 UNO655439 UNO720973 UNO720975 UNO786509 UNO786511 UNO852045 UNO852047 UNO917581 UNO917583 UNO983117 UNO983119 UXK57 UXK59 UXK65613 UXK65615 UXK131149 UXK131151 UXK196685 UXK196687 UXK262221 UXK262223 UXK327757 UXK327759 UXK393293 UXK393295 UXK458829 UXK458831 UXK524365 UXK524367 UXK589901 UXK589903 UXK655437 UXK655439 UXK720973 UXK720975 UXK786509 UXK786511 UXK852045 UXK852047 UXK917581 UXK917583 UXK983117 UXK983119 VHG57 VHG59 VHG65613 VHG65615 VHG131149 VHG131151 VHG196685 VHG196687 VHG262221 VHG262223 VHG327757 VHG327759 VHG393293 VHG393295 VHG458829 VHG458831 VHG524365 VHG524367 VHG589901 VHG589903 VHG655437 VHG655439 VHG720973 VHG720975 VHG786509 VHG786511 VHG852045 VHG852047 VHG917581 VHG917583 VHG983117 VHG983119 VRC57 VRC59 VRC65613 VRC65615 VRC131149 VRC131151 VRC196685 VRC196687 VRC262221 VRC262223 VRC327757 VRC327759 VRC393293 VRC393295 VRC458829 VRC458831 VRC524365 VRC524367 VRC589901 VRC589903 VRC655437 VRC655439 VRC720973 VRC720975 VRC786509 VRC786511 VRC852045 VRC852047 VRC917581 VRC917583 VRC983117 VRC983119 WAY57 WAY59 WAY65613 WAY65615 WAY131149 WAY131151 WAY196685 WAY196687 WAY262221 WAY262223 WAY327757 WAY327759 WAY393293 WAY393295 WAY458829 WAY458831 WAY524365 WAY524367 WAY589901 WAY589903 WAY655437 WAY655439 WAY720973 WAY720975 WAY786509 WAY786511 WAY852045 WAY852047 WAY917581 WAY917583 WAY983117 WAY983119 WKU57 WKU59 WKU65613 WKU65615 WKU131149 WKU131151 WKU196685 WKU196687 WKU262221 WKU262223 WKU327757 WKU327759 WKU393293 WKU393295 WKU458829 WKU458831 WKU524365 WKU524367 WKU589901 WKU589903 WKU655437 WKU655439 WKU720973 WKU720975 WKU786509 WKU786511 WKU852045 WKU852047 WKU917581 WKU917583 WKU983117 WKU983119 WUQ57 WUQ59 WUQ65613 WUQ65615 WUQ131149 WUQ131151 WUQ196685 WUQ196687 WUQ262221 WUQ262223 WUQ327757 WUQ327759 WUQ393293 WUQ393295 WUQ458829 WUQ458831 WUQ524365 WUQ524367 WUQ589901 WUQ589903 WUQ655437 WUQ655439 WUQ720973 WUQ720975 WUQ786509 WUQ786511 WUQ852045 WUQ852047 WUQ917581 WUQ917583 WUQ983117 WUQ983119" xr:uid="{00000000-0002-0000-0100-000001000000}">
      <formula1>"EBITDA,EBITA,EBIT,PBT,NPAT"</formula1>
    </dataValidation>
    <dataValidation type="list" allowBlank="1" showInputMessage="1" showErrorMessage="1" sqref="D14 D65570 D131106 D196642 D262178 D327714 D393250 D458786 D524322 D589858 D655394 D720930 D786466 D852002 D917538 D983074 IE14 IE65570 IE131106 IE196642 IE262178 IE327714 IE393250 IE458786 IE524322 IE589858 IE655394 IE720930 IE786466 IE852002 IE917538 IE983074 SA14 SA65570 SA131106 SA196642 SA262178 SA327714 SA393250 SA458786 SA524322 SA589858 SA655394 SA720930 SA786466 SA852002 SA917538 SA983074 ABW14 ABW65570 ABW131106 ABW196642 ABW262178 ABW327714 ABW393250 ABW458786 ABW524322 ABW589858 ABW655394 ABW720930 ABW786466 ABW852002 ABW917538 ABW983074 ALS14 ALS65570 ALS131106 ALS196642 ALS262178 ALS327714 ALS393250 ALS458786 ALS524322 ALS589858 ALS655394 ALS720930 ALS786466 ALS852002 ALS917538 ALS983074 AVO14 AVO65570 AVO131106 AVO196642 AVO262178 AVO327714 AVO393250 AVO458786 AVO524322 AVO589858 AVO655394 AVO720930 AVO786466 AVO852002 AVO917538 AVO983074 BFK14 BFK65570 BFK131106 BFK196642 BFK262178 BFK327714 BFK393250 BFK458786 BFK524322 BFK589858 BFK655394 BFK720930 BFK786466 BFK852002 BFK917538 BFK983074 BPG14 BPG65570 BPG131106 BPG196642 BPG262178 BPG327714 BPG393250 BPG458786 BPG524322 BPG589858 BPG655394 BPG720930 BPG786466 BPG852002 BPG917538 BPG983074 BZC14 BZC65570 BZC131106 BZC196642 BZC262178 BZC327714 BZC393250 BZC458786 BZC524322 BZC589858 BZC655394 BZC720930 BZC786466 BZC852002 BZC917538 BZC983074 CIY14 CIY65570 CIY131106 CIY196642 CIY262178 CIY327714 CIY393250 CIY458786 CIY524322 CIY589858 CIY655394 CIY720930 CIY786466 CIY852002 CIY917538 CIY983074 CSU14 CSU65570 CSU131106 CSU196642 CSU262178 CSU327714 CSU393250 CSU458786 CSU524322 CSU589858 CSU655394 CSU720930 CSU786466 CSU852002 CSU917538 CSU983074 DCQ14 DCQ65570 DCQ131106 DCQ196642 DCQ262178 DCQ327714 DCQ393250 DCQ458786 DCQ524322 DCQ589858 DCQ655394 DCQ720930 DCQ786466 DCQ852002 DCQ917538 DCQ983074 DMM14 DMM65570 DMM131106 DMM196642 DMM262178 DMM327714 DMM393250 DMM458786 DMM524322 DMM589858 DMM655394 DMM720930 DMM786466 DMM852002 DMM917538 DMM983074 DWI14 DWI65570 DWI131106 DWI196642 DWI262178 DWI327714 DWI393250 DWI458786 DWI524322 DWI589858 DWI655394 DWI720930 DWI786466 DWI852002 DWI917538 DWI983074 EGE14 EGE65570 EGE131106 EGE196642 EGE262178 EGE327714 EGE393250 EGE458786 EGE524322 EGE589858 EGE655394 EGE720930 EGE786466 EGE852002 EGE917538 EGE983074 EQA14 EQA65570 EQA131106 EQA196642 EQA262178 EQA327714 EQA393250 EQA458786 EQA524322 EQA589858 EQA655394 EQA720930 EQA786466 EQA852002 EQA917538 EQA983074 EZW14 EZW65570 EZW131106 EZW196642 EZW262178 EZW327714 EZW393250 EZW458786 EZW524322 EZW589858 EZW655394 EZW720930 EZW786466 EZW852002 EZW917538 EZW983074 FJS14 FJS65570 FJS131106 FJS196642 FJS262178 FJS327714 FJS393250 FJS458786 FJS524322 FJS589858 FJS655394 FJS720930 FJS786466 FJS852002 FJS917538 FJS983074 FTO14 FTO65570 FTO131106 FTO196642 FTO262178 FTO327714 FTO393250 FTO458786 FTO524322 FTO589858 FTO655394 FTO720930 FTO786466 FTO852002 FTO917538 FTO983074 GDK14 GDK65570 GDK131106 GDK196642 GDK262178 GDK327714 GDK393250 GDK458786 GDK524322 GDK589858 GDK655394 GDK720930 GDK786466 GDK852002 GDK917538 GDK983074 GNG14 GNG65570 GNG131106 GNG196642 GNG262178 GNG327714 GNG393250 GNG458786 GNG524322 GNG589858 GNG655394 GNG720930 GNG786466 GNG852002 GNG917538 GNG983074 GXC14 GXC65570 GXC131106 GXC196642 GXC262178 GXC327714 GXC393250 GXC458786 GXC524322 GXC589858 GXC655394 GXC720930 GXC786466 GXC852002 GXC917538 GXC983074 HGY14 HGY65570 HGY131106 HGY196642 HGY262178 HGY327714 HGY393250 HGY458786 HGY524322 HGY589858 HGY655394 HGY720930 HGY786466 HGY852002 HGY917538 HGY983074 HQU14 HQU65570 HQU131106 HQU196642 HQU262178 HQU327714 HQU393250 HQU458786 HQU524322 HQU589858 HQU655394 HQU720930 HQU786466 HQU852002 HQU917538 HQU983074 IAQ14 IAQ65570 IAQ131106 IAQ196642 IAQ262178 IAQ327714 IAQ393250 IAQ458786 IAQ524322 IAQ589858 IAQ655394 IAQ720930 IAQ786466 IAQ852002 IAQ917538 IAQ983074 IKM14 IKM65570 IKM131106 IKM196642 IKM262178 IKM327714 IKM393250 IKM458786 IKM524322 IKM589858 IKM655394 IKM720930 IKM786466 IKM852002 IKM917538 IKM983074 IUI14 IUI65570 IUI131106 IUI196642 IUI262178 IUI327714 IUI393250 IUI458786 IUI524322 IUI589858 IUI655394 IUI720930 IUI786466 IUI852002 IUI917538 IUI983074 JEE14 JEE65570 JEE131106 JEE196642 JEE262178 JEE327714 JEE393250 JEE458786 JEE524322 JEE589858 JEE655394 JEE720930 JEE786466 JEE852002 JEE917538 JEE983074 JOA14 JOA65570 JOA131106 JOA196642 JOA262178 JOA327714 JOA393250 JOA458786 JOA524322 JOA589858 JOA655394 JOA720930 JOA786466 JOA852002 JOA917538 JOA983074 JXW14 JXW65570 JXW131106 JXW196642 JXW262178 JXW327714 JXW393250 JXW458786 JXW524322 JXW589858 JXW655394 JXW720930 JXW786466 JXW852002 JXW917538 JXW983074 KHS14 KHS65570 KHS131106 KHS196642 KHS262178 KHS327714 KHS393250 KHS458786 KHS524322 KHS589858 KHS655394 KHS720930 KHS786466 KHS852002 KHS917538 KHS983074 KRO14 KRO65570 KRO131106 KRO196642 KRO262178 KRO327714 KRO393250 KRO458786 KRO524322 KRO589858 KRO655394 KRO720930 KRO786466 KRO852002 KRO917538 KRO983074 LBK14 LBK65570 LBK131106 LBK196642 LBK262178 LBK327714 LBK393250 LBK458786 LBK524322 LBK589858 LBK655394 LBK720930 LBK786466 LBK852002 LBK917538 LBK983074 LLG14 LLG65570 LLG131106 LLG196642 LLG262178 LLG327714 LLG393250 LLG458786 LLG524322 LLG589858 LLG655394 LLG720930 LLG786466 LLG852002 LLG917538 LLG983074 LVC14 LVC65570 LVC131106 LVC196642 LVC262178 LVC327714 LVC393250 LVC458786 LVC524322 LVC589858 LVC655394 LVC720930 LVC786466 LVC852002 LVC917538 LVC983074 MEY14 MEY65570 MEY131106 MEY196642 MEY262178 MEY327714 MEY393250 MEY458786 MEY524322 MEY589858 MEY655394 MEY720930 MEY786466 MEY852002 MEY917538 MEY983074 MOU14 MOU65570 MOU131106 MOU196642 MOU262178 MOU327714 MOU393250 MOU458786 MOU524322 MOU589858 MOU655394 MOU720930 MOU786466 MOU852002 MOU917538 MOU983074 MYQ14 MYQ65570 MYQ131106 MYQ196642 MYQ262178 MYQ327714 MYQ393250 MYQ458786 MYQ524322 MYQ589858 MYQ655394 MYQ720930 MYQ786466 MYQ852002 MYQ917538 MYQ983074 NIM14 NIM65570 NIM131106 NIM196642 NIM262178 NIM327714 NIM393250 NIM458786 NIM524322 NIM589858 NIM655394 NIM720930 NIM786466 NIM852002 NIM917538 NIM983074 NSI14 NSI65570 NSI131106 NSI196642 NSI262178 NSI327714 NSI393250 NSI458786 NSI524322 NSI589858 NSI655394 NSI720930 NSI786466 NSI852002 NSI917538 NSI983074 OCE14 OCE65570 OCE131106 OCE196642 OCE262178 OCE327714 OCE393250 OCE458786 OCE524322 OCE589858 OCE655394 OCE720930 OCE786466 OCE852002 OCE917538 OCE983074 OMA14 OMA65570 OMA131106 OMA196642 OMA262178 OMA327714 OMA393250 OMA458786 OMA524322 OMA589858 OMA655394 OMA720930 OMA786466 OMA852002 OMA917538 OMA983074 OVW14 OVW65570 OVW131106 OVW196642 OVW262178 OVW327714 OVW393250 OVW458786 OVW524322 OVW589858 OVW655394 OVW720930 OVW786466 OVW852002 OVW917538 OVW983074 PFS14 PFS65570 PFS131106 PFS196642 PFS262178 PFS327714 PFS393250 PFS458786 PFS524322 PFS589858 PFS655394 PFS720930 PFS786466 PFS852002 PFS917538 PFS983074 PPO14 PPO65570 PPO131106 PPO196642 PPO262178 PPO327714 PPO393250 PPO458786 PPO524322 PPO589858 PPO655394 PPO720930 PPO786466 PPO852002 PPO917538 PPO983074 PZK14 PZK65570 PZK131106 PZK196642 PZK262178 PZK327714 PZK393250 PZK458786 PZK524322 PZK589858 PZK655394 PZK720930 PZK786466 PZK852002 PZK917538 PZK983074 QJG14 QJG65570 QJG131106 QJG196642 QJG262178 QJG327714 QJG393250 QJG458786 QJG524322 QJG589858 QJG655394 QJG720930 QJG786466 QJG852002 QJG917538 QJG983074 QTC14 QTC65570 QTC131106 QTC196642 QTC262178 QTC327714 QTC393250 QTC458786 QTC524322 QTC589858 QTC655394 QTC720930 QTC786466 QTC852002 QTC917538 QTC983074 RCY14 RCY65570 RCY131106 RCY196642 RCY262178 RCY327714 RCY393250 RCY458786 RCY524322 RCY589858 RCY655394 RCY720930 RCY786466 RCY852002 RCY917538 RCY983074 RMU14 RMU65570 RMU131106 RMU196642 RMU262178 RMU327714 RMU393250 RMU458786 RMU524322 RMU589858 RMU655394 RMU720930 RMU786466 RMU852002 RMU917538 RMU983074 RWQ14 RWQ65570 RWQ131106 RWQ196642 RWQ262178 RWQ327714 RWQ393250 RWQ458786 RWQ524322 RWQ589858 RWQ655394 RWQ720930 RWQ786466 RWQ852002 RWQ917538 RWQ983074 SGM14 SGM65570 SGM131106 SGM196642 SGM262178 SGM327714 SGM393250 SGM458786 SGM524322 SGM589858 SGM655394 SGM720930 SGM786466 SGM852002 SGM917538 SGM983074 SQI14 SQI65570 SQI131106 SQI196642 SQI262178 SQI327714 SQI393250 SQI458786 SQI524322 SQI589858 SQI655394 SQI720930 SQI786466 SQI852002 SQI917538 SQI983074 TAE14 TAE65570 TAE131106 TAE196642 TAE262178 TAE327714 TAE393250 TAE458786 TAE524322 TAE589858 TAE655394 TAE720930 TAE786466 TAE852002 TAE917538 TAE983074 TKA14 TKA65570 TKA131106 TKA196642 TKA262178 TKA327714 TKA393250 TKA458786 TKA524322 TKA589858 TKA655394 TKA720930 TKA786466 TKA852002 TKA917538 TKA983074 TTW14 TTW65570 TTW131106 TTW196642 TTW262178 TTW327714 TTW393250 TTW458786 TTW524322 TTW589858 TTW655394 TTW720930 TTW786466 TTW852002 TTW917538 TTW983074 UDS14 UDS65570 UDS131106 UDS196642 UDS262178 UDS327714 UDS393250 UDS458786 UDS524322 UDS589858 UDS655394 UDS720930 UDS786466 UDS852002 UDS917538 UDS983074 UNO14 UNO65570 UNO131106 UNO196642 UNO262178 UNO327714 UNO393250 UNO458786 UNO524322 UNO589858 UNO655394 UNO720930 UNO786466 UNO852002 UNO917538 UNO983074 UXK14 UXK65570 UXK131106 UXK196642 UXK262178 UXK327714 UXK393250 UXK458786 UXK524322 UXK589858 UXK655394 UXK720930 UXK786466 UXK852002 UXK917538 UXK983074 VHG14 VHG65570 VHG131106 VHG196642 VHG262178 VHG327714 VHG393250 VHG458786 VHG524322 VHG589858 VHG655394 VHG720930 VHG786466 VHG852002 VHG917538 VHG983074 VRC14 VRC65570 VRC131106 VRC196642 VRC262178 VRC327714 VRC393250 VRC458786 VRC524322 VRC589858 VRC655394 VRC720930 VRC786466 VRC852002 VRC917538 VRC983074 WAY14 WAY65570 WAY131106 WAY196642 WAY262178 WAY327714 WAY393250 WAY458786 WAY524322 WAY589858 WAY655394 WAY720930 WAY786466 WAY852002 WAY917538 WAY983074 WKU14 WKU65570 WKU131106 WKU196642 WKU262178 WKU327714 WKU393250 WKU458786 WKU524322 WKU589858 WKU655394 WKU720930 WKU786466 WKU852002 WKU917538 WKU983074 WUQ14 WUQ65570 WUQ131106 WUQ196642 WUQ262178 WUQ327714 WUQ393250 WUQ458786 WUQ524322 WUQ589858 WUQ655394 WUQ720930 WUQ786466 WUQ852002 WUQ917538 WUQ983074" xr:uid="{00000000-0002-0000-0100-000002000000}">
      <formula1>"Positive,Neutral,Negative,Speculative Buy,Suspended,Not Rated"</formula1>
    </dataValidation>
    <dataValidation type="list" allowBlank="1" showInputMessage="1" showErrorMessage="1" sqref="D9 D65565 D131101 D196637 D262173 D327709 D393245 D458781 D524317 D589853 D655389 D720925 D786461 D851997 D917533 D983069 IE9 IE65565 IE131101 IE196637 IE262173 IE327709 IE393245 IE458781 IE524317 IE589853 IE655389 IE720925 IE786461 IE851997 IE917533 IE983069 SA9 SA65565 SA131101 SA196637 SA262173 SA327709 SA393245 SA458781 SA524317 SA589853 SA655389 SA720925 SA786461 SA851997 SA917533 SA983069 ABW9 ABW65565 ABW131101 ABW196637 ABW262173 ABW327709 ABW393245 ABW458781 ABW524317 ABW589853 ABW655389 ABW720925 ABW786461 ABW851997 ABW917533 ABW983069 ALS9 ALS65565 ALS131101 ALS196637 ALS262173 ALS327709 ALS393245 ALS458781 ALS524317 ALS589853 ALS655389 ALS720925 ALS786461 ALS851997 ALS917533 ALS983069 AVO9 AVO65565 AVO131101 AVO196637 AVO262173 AVO327709 AVO393245 AVO458781 AVO524317 AVO589853 AVO655389 AVO720925 AVO786461 AVO851997 AVO917533 AVO983069 BFK9 BFK65565 BFK131101 BFK196637 BFK262173 BFK327709 BFK393245 BFK458781 BFK524317 BFK589853 BFK655389 BFK720925 BFK786461 BFK851997 BFK917533 BFK983069 BPG9 BPG65565 BPG131101 BPG196637 BPG262173 BPG327709 BPG393245 BPG458781 BPG524317 BPG589853 BPG655389 BPG720925 BPG786461 BPG851997 BPG917533 BPG983069 BZC9 BZC65565 BZC131101 BZC196637 BZC262173 BZC327709 BZC393245 BZC458781 BZC524317 BZC589853 BZC655389 BZC720925 BZC786461 BZC851997 BZC917533 BZC983069 CIY9 CIY65565 CIY131101 CIY196637 CIY262173 CIY327709 CIY393245 CIY458781 CIY524317 CIY589853 CIY655389 CIY720925 CIY786461 CIY851997 CIY917533 CIY983069 CSU9 CSU65565 CSU131101 CSU196637 CSU262173 CSU327709 CSU393245 CSU458781 CSU524317 CSU589853 CSU655389 CSU720925 CSU786461 CSU851997 CSU917533 CSU983069 DCQ9 DCQ65565 DCQ131101 DCQ196637 DCQ262173 DCQ327709 DCQ393245 DCQ458781 DCQ524317 DCQ589853 DCQ655389 DCQ720925 DCQ786461 DCQ851997 DCQ917533 DCQ983069 DMM9 DMM65565 DMM131101 DMM196637 DMM262173 DMM327709 DMM393245 DMM458781 DMM524317 DMM589853 DMM655389 DMM720925 DMM786461 DMM851997 DMM917533 DMM983069 DWI9 DWI65565 DWI131101 DWI196637 DWI262173 DWI327709 DWI393245 DWI458781 DWI524317 DWI589853 DWI655389 DWI720925 DWI786461 DWI851997 DWI917533 DWI983069 EGE9 EGE65565 EGE131101 EGE196637 EGE262173 EGE327709 EGE393245 EGE458781 EGE524317 EGE589853 EGE655389 EGE720925 EGE786461 EGE851997 EGE917533 EGE983069 EQA9 EQA65565 EQA131101 EQA196637 EQA262173 EQA327709 EQA393245 EQA458781 EQA524317 EQA589853 EQA655389 EQA720925 EQA786461 EQA851997 EQA917533 EQA983069 EZW9 EZW65565 EZW131101 EZW196637 EZW262173 EZW327709 EZW393245 EZW458781 EZW524317 EZW589853 EZW655389 EZW720925 EZW786461 EZW851997 EZW917533 EZW983069 FJS9 FJS65565 FJS131101 FJS196637 FJS262173 FJS327709 FJS393245 FJS458781 FJS524317 FJS589853 FJS655389 FJS720925 FJS786461 FJS851997 FJS917533 FJS983069 FTO9 FTO65565 FTO131101 FTO196637 FTO262173 FTO327709 FTO393245 FTO458781 FTO524317 FTO589853 FTO655389 FTO720925 FTO786461 FTO851997 FTO917533 FTO983069 GDK9 GDK65565 GDK131101 GDK196637 GDK262173 GDK327709 GDK393245 GDK458781 GDK524317 GDK589853 GDK655389 GDK720925 GDK786461 GDK851997 GDK917533 GDK983069 GNG9 GNG65565 GNG131101 GNG196637 GNG262173 GNG327709 GNG393245 GNG458781 GNG524317 GNG589853 GNG655389 GNG720925 GNG786461 GNG851997 GNG917533 GNG983069 GXC9 GXC65565 GXC131101 GXC196637 GXC262173 GXC327709 GXC393245 GXC458781 GXC524317 GXC589853 GXC655389 GXC720925 GXC786461 GXC851997 GXC917533 GXC983069 HGY9 HGY65565 HGY131101 HGY196637 HGY262173 HGY327709 HGY393245 HGY458781 HGY524317 HGY589853 HGY655389 HGY720925 HGY786461 HGY851997 HGY917533 HGY983069 HQU9 HQU65565 HQU131101 HQU196637 HQU262173 HQU327709 HQU393245 HQU458781 HQU524317 HQU589853 HQU655389 HQU720925 HQU786461 HQU851997 HQU917533 HQU983069 IAQ9 IAQ65565 IAQ131101 IAQ196637 IAQ262173 IAQ327709 IAQ393245 IAQ458781 IAQ524317 IAQ589853 IAQ655389 IAQ720925 IAQ786461 IAQ851997 IAQ917533 IAQ983069 IKM9 IKM65565 IKM131101 IKM196637 IKM262173 IKM327709 IKM393245 IKM458781 IKM524317 IKM589853 IKM655389 IKM720925 IKM786461 IKM851997 IKM917533 IKM983069 IUI9 IUI65565 IUI131101 IUI196637 IUI262173 IUI327709 IUI393245 IUI458781 IUI524317 IUI589853 IUI655389 IUI720925 IUI786461 IUI851997 IUI917533 IUI983069 JEE9 JEE65565 JEE131101 JEE196637 JEE262173 JEE327709 JEE393245 JEE458781 JEE524317 JEE589853 JEE655389 JEE720925 JEE786461 JEE851997 JEE917533 JEE983069 JOA9 JOA65565 JOA131101 JOA196637 JOA262173 JOA327709 JOA393245 JOA458781 JOA524317 JOA589853 JOA655389 JOA720925 JOA786461 JOA851997 JOA917533 JOA983069 JXW9 JXW65565 JXW131101 JXW196637 JXW262173 JXW327709 JXW393245 JXW458781 JXW524317 JXW589853 JXW655389 JXW720925 JXW786461 JXW851997 JXW917533 JXW983069 KHS9 KHS65565 KHS131101 KHS196637 KHS262173 KHS327709 KHS393245 KHS458781 KHS524317 KHS589853 KHS655389 KHS720925 KHS786461 KHS851997 KHS917533 KHS983069 KRO9 KRO65565 KRO131101 KRO196637 KRO262173 KRO327709 KRO393245 KRO458781 KRO524317 KRO589853 KRO655389 KRO720925 KRO786461 KRO851997 KRO917533 KRO983069 LBK9 LBK65565 LBK131101 LBK196637 LBK262173 LBK327709 LBK393245 LBK458781 LBK524317 LBK589853 LBK655389 LBK720925 LBK786461 LBK851997 LBK917533 LBK983069 LLG9 LLG65565 LLG131101 LLG196637 LLG262173 LLG327709 LLG393245 LLG458781 LLG524317 LLG589853 LLG655389 LLG720925 LLG786461 LLG851997 LLG917533 LLG983069 LVC9 LVC65565 LVC131101 LVC196637 LVC262173 LVC327709 LVC393245 LVC458781 LVC524317 LVC589853 LVC655389 LVC720925 LVC786461 LVC851997 LVC917533 LVC983069 MEY9 MEY65565 MEY131101 MEY196637 MEY262173 MEY327709 MEY393245 MEY458781 MEY524317 MEY589853 MEY655389 MEY720925 MEY786461 MEY851997 MEY917533 MEY983069 MOU9 MOU65565 MOU131101 MOU196637 MOU262173 MOU327709 MOU393245 MOU458781 MOU524317 MOU589853 MOU655389 MOU720925 MOU786461 MOU851997 MOU917533 MOU983069 MYQ9 MYQ65565 MYQ131101 MYQ196637 MYQ262173 MYQ327709 MYQ393245 MYQ458781 MYQ524317 MYQ589853 MYQ655389 MYQ720925 MYQ786461 MYQ851997 MYQ917533 MYQ983069 NIM9 NIM65565 NIM131101 NIM196637 NIM262173 NIM327709 NIM393245 NIM458781 NIM524317 NIM589853 NIM655389 NIM720925 NIM786461 NIM851997 NIM917533 NIM983069 NSI9 NSI65565 NSI131101 NSI196637 NSI262173 NSI327709 NSI393245 NSI458781 NSI524317 NSI589853 NSI655389 NSI720925 NSI786461 NSI851997 NSI917533 NSI983069 OCE9 OCE65565 OCE131101 OCE196637 OCE262173 OCE327709 OCE393245 OCE458781 OCE524317 OCE589853 OCE655389 OCE720925 OCE786461 OCE851997 OCE917533 OCE983069 OMA9 OMA65565 OMA131101 OMA196637 OMA262173 OMA327709 OMA393245 OMA458781 OMA524317 OMA589853 OMA655389 OMA720925 OMA786461 OMA851997 OMA917533 OMA983069 OVW9 OVW65565 OVW131101 OVW196637 OVW262173 OVW327709 OVW393245 OVW458781 OVW524317 OVW589853 OVW655389 OVW720925 OVW786461 OVW851997 OVW917533 OVW983069 PFS9 PFS65565 PFS131101 PFS196637 PFS262173 PFS327709 PFS393245 PFS458781 PFS524317 PFS589853 PFS655389 PFS720925 PFS786461 PFS851997 PFS917533 PFS983069 PPO9 PPO65565 PPO131101 PPO196637 PPO262173 PPO327709 PPO393245 PPO458781 PPO524317 PPO589853 PPO655389 PPO720925 PPO786461 PPO851997 PPO917533 PPO983069 PZK9 PZK65565 PZK131101 PZK196637 PZK262173 PZK327709 PZK393245 PZK458781 PZK524317 PZK589853 PZK655389 PZK720925 PZK786461 PZK851997 PZK917533 PZK983069 QJG9 QJG65565 QJG131101 QJG196637 QJG262173 QJG327709 QJG393245 QJG458781 QJG524317 QJG589853 QJG655389 QJG720925 QJG786461 QJG851997 QJG917533 QJG983069 QTC9 QTC65565 QTC131101 QTC196637 QTC262173 QTC327709 QTC393245 QTC458781 QTC524317 QTC589853 QTC655389 QTC720925 QTC786461 QTC851997 QTC917533 QTC983069 RCY9 RCY65565 RCY131101 RCY196637 RCY262173 RCY327709 RCY393245 RCY458781 RCY524317 RCY589853 RCY655389 RCY720925 RCY786461 RCY851997 RCY917533 RCY983069 RMU9 RMU65565 RMU131101 RMU196637 RMU262173 RMU327709 RMU393245 RMU458781 RMU524317 RMU589853 RMU655389 RMU720925 RMU786461 RMU851997 RMU917533 RMU983069 RWQ9 RWQ65565 RWQ131101 RWQ196637 RWQ262173 RWQ327709 RWQ393245 RWQ458781 RWQ524317 RWQ589853 RWQ655389 RWQ720925 RWQ786461 RWQ851997 RWQ917533 RWQ983069 SGM9 SGM65565 SGM131101 SGM196637 SGM262173 SGM327709 SGM393245 SGM458781 SGM524317 SGM589853 SGM655389 SGM720925 SGM786461 SGM851997 SGM917533 SGM983069 SQI9 SQI65565 SQI131101 SQI196637 SQI262173 SQI327709 SQI393245 SQI458781 SQI524317 SQI589853 SQI655389 SQI720925 SQI786461 SQI851997 SQI917533 SQI983069 TAE9 TAE65565 TAE131101 TAE196637 TAE262173 TAE327709 TAE393245 TAE458781 TAE524317 TAE589853 TAE655389 TAE720925 TAE786461 TAE851997 TAE917533 TAE983069 TKA9 TKA65565 TKA131101 TKA196637 TKA262173 TKA327709 TKA393245 TKA458781 TKA524317 TKA589853 TKA655389 TKA720925 TKA786461 TKA851997 TKA917533 TKA983069 TTW9 TTW65565 TTW131101 TTW196637 TTW262173 TTW327709 TTW393245 TTW458781 TTW524317 TTW589853 TTW655389 TTW720925 TTW786461 TTW851997 TTW917533 TTW983069 UDS9 UDS65565 UDS131101 UDS196637 UDS262173 UDS327709 UDS393245 UDS458781 UDS524317 UDS589853 UDS655389 UDS720925 UDS786461 UDS851997 UDS917533 UDS983069 UNO9 UNO65565 UNO131101 UNO196637 UNO262173 UNO327709 UNO393245 UNO458781 UNO524317 UNO589853 UNO655389 UNO720925 UNO786461 UNO851997 UNO917533 UNO983069 UXK9 UXK65565 UXK131101 UXK196637 UXK262173 UXK327709 UXK393245 UXK458781 UXK524317 UXK589853 UXK655389 UXK720925 UXK786461 UXK851997 UXK917533 UXK983069 VHG9 VHG65565 VHG131101 VHG196637 VHG262173 VHG327709 VHG393245 VHG458781 VHG524317 VHG589853 VHG655389 VHG720925 VHG786461 VHG851997 VHG917533 VHG983069 VRC9 VRC65565 VRC131101 VRC196637 VRC262173 VRC327709 VRC393245 VRC458781 VRC524317 VRC589853 VRC655389 VRC720925 VRC786461 VRC851997 VRC917533 VRC983069 WAY9 WAY65565 WAY131101 WAY196637 WAY262173 WAY327709 WAY393245 WAY458781 WAY524317 WAY589853 WAY655389 WAY720925 WAY786461 WAY851997 WAY917533 WAY983069 WKU9 WKU65565 WKU131101 WKU196637 WKU262173 WKU327709 WKU393245 WKU458781 WKU524317 WKU589853 WKU655389 WKU720925 WKU786461 WKU851997 WKU917533 WKU983069 WUQ9 WUQ65565 WUQ131101 WUQ196637 WUQ262173 WUQ327709 WUQ393245 WUQ458781 WUQ524317 WUQ589853 WUQ655389 WUQ720925 WUQ786461 WUQ851997 WUQ917533 WUQ983069" xr:uid="{00000000-0002-0000-0100-000003000000}">
      <formula1>"1000,1000000,1000000000"</formula1>
    </dataValidation>
    <dataValidation type="list" allowBlank="1" showInputMessage="1" showErrorMessage="1" sqref="D10 D65566 D131102 D196638 D262174 D327710 D393246 D458782 D524318 D589854 D655390 D720926 D786462 D851998 D917534 D983070 IE10 IE65566 IE131102 IE196638 IE262174 IE327710 IE393246 IE458782 IE524318 IE589854 IE655390 IE720926 IE786462 IE851998 IE917534 IE983070 SA10 SA65566 SA131102 SA196638 SA262174 SA327710 SA393246 SA458782 SA524318 SA589854 SA655390 SA720926 SA786462 SA851998 SA917534 SA983070 ABW10 ABW65566 ABW131102 ABW196638 ABW262174 ABW327710 ABW393246 ABW458782 ABW524318 ABW589854 ABW655390 ABW720926 ABW786462 ABW851998 ABW917534 ABW983070 ALS10 ALS65566 ALS131102 ALS196638 ALS262174 ALS327710 ALS393246 ALS458782 ALS524318 ALS589854 ALS655390 ALS720926 ALS786462 ALS851998 ALS917534 ALS983070 AVO10 AVO65566 AVO131102 AVO196638 AVO262174 AVO327710 AVO393246 AVO458782 AVO524318 AVO589854 AVO655390 AVO720926 AVO786462 AVO851998 AVO917534 AVO983070 BFK10 BFK65566 BFK131102 BFK196638 BFK262174 BFK327710 BFK393246 BFK458782 BFK524318 BFK589854 BFK655390 BFK720926 BFK786462 BFK851998 BFK917534 BFK983070 BPG10 BPG65566 BPG131102 BPG196638 BPG262174 BPG327710 BPG393246 BPG458782 BPG524318 BPG589854 BPG655390 BPG720926 BPG786462 BPG851998 BPG917534 BPG983070 BZC10 BZC65566 BZC131102 BZC196638 BZC262174 BZC327710 BZC393246 BZC458782 BZC524318 BZC589854 BZC655390 BZC720926 BZC786462 BZC851998 BZC917534 BZC983070 CIY10 CIY65566 CIY131102 CIY196638 CIY262174 CIY327710 CIY393246 CIY458782 CIY524318 CIY589854 CIY655390 CIY720926 CIY786462 CIY851998 CIY917534 CIY983070 CSU10 CSU65566 CSU131102 CSU196638 CSU262174 CSU327710 CSU393246 CSU458782 CSU524318 CSU589854 CSU655390 CSU720926 CSU786462 CSU851998 CSU917534 CSU983070 DCQ10 DCQ65566 DCQ131102 DCQ196638 DCQ262174 DCQ327710 DCQ393246 DCQ458782 DCQ524318 DCQ589854 DCQ655390 DCQ720926 DCQ786462 DCQ851998 DCQ917534 DCQ983070 DMM10 DMM65566 DMM131102 DMM196638 DMM262174 DMM327710 DMM393246 DMM458782 DMM524318 DMM589854 DMM655390 DMM720926 DMM786462 DMM851998 DMM917534 DMM983070 DWI10 DWI65566 DWI131102 DWI196638 DWI262174 DWI327710 DWI393246 DWI458782 DWI524318 DWI589854 DWI655390 DWI720926 DWI786462 DWI851998 DWI917534 DWI983070 EGE10 EGE65566 EGE131102 EGE196638 EGE262174 EGE327710 EGE393246 EGE458782 EGE524318 EGE589854 EGE655390 EGE720926 EGE786462 EGE851998 EGE917534 EGE983070 EQA10 EQA65566 EQA131102 EQA196638 EQA262174 EQA327710 EQA393246 EQA458782 EQA524318 EQA589854 EQA655390 EQA720926 EQA786462 EQA851998 EQA917534 EQA983070 EZW10 EZW65566 EZW131102 EZW196638 EZW262174 EZW327710 EZW393246 EZW458782 EZW524318 EZW589854 EZW655390 EZW720926 EZW786462 EZW851998 EZW917534 EZW983070 FJS10 FJS65566 FJS131102 FJS196638 FJS262174 FJS327710 FJS393246 FJS458782 FJS524318 FJS589854 FJS655390 FJS720926 FJS786462 FJS851998 FJS917534 FJS983070 FTO10 FTO65566 FTO131102 FTO196638 FTO262174 FTO327710 FTO393246 FTO458782 FTO524318 FTO589854 FTO655390 FTO720926 FTO786462 FTO851998 FTO917534 FTO983070 GDK10 GDK65566 GDK131102 GDK196638 GDK262174 GDK327710 GDK393246 GDK458782 GDK524318 GDK589854 GDK655390 GDK720926 GDK786462 GDK851998 GDK917534 GDK983070 GNG10 GNG65566 GNG131102 GNG196638 GNG262174 GNG327710 GNG393246 GNG458782 GNG524318 GNG589854 GNG655390 GNG720926 GNG786462 GNG851998 GNG917534 GNG983070 GXC10 GXC65566 GXC131102 GXC196638 GXC262174 GXC327710 GXC393246 GXC458782 GXC524318 GXC589854 GXC655390 GXC720926 GXC786462 GXC851998 GXC917534 GXC983070 HGY10 HGY65566 HGY131102 HGY196638 HGY262174 HGY327710 HGY393246 HGY458782 HGY524318 HGY589854 HGY655390 HGY720926 HGY786462 HGY851998 HGY917534 HGY983070 HQU10 HQU65566 HQU131102 HQU196638 HQU262174 HQU327710 HQU393246 HQU458782 HQU524318 HQU589854 HQU655390 HQU720926 HQU786462 HQU851998 HQU917534 HQU983070 IAQ10 IAQ65566 IAQ131102 IAQ196638 IAQ262174 IAQ327710 IAQ393246 IAQ458782 IAQ524318 IAQ589854 IAQ655390 IAQ720926 IAQ786462 IAQ851998 IAQ917534 IAQ983070 IKM10 IKM65566 IKM131102 IKM196638 IKM262174 IKM327710 IKM393246 IKM458782 IKM524318 IKM589854 IKM655390 IKM720926 IKM786462 IKM851998 IKM917534 IKM983070 IUI10 IUI65566 IUI131102 IUI196638 IUI262174 IUI327710 IUI393246 IUI458782 IUI524318 IUI589854 IUI655390 IUI720926 IUI786462 IUI851998 IUI917534 IUI983070 JEE10 JEE65566 JEE131102 JEE196638 JEE262174 JEE327710 JEE393246 JEE458782 JEE524318 JEE589854 JEE655390 JEE720926 JEE786462 JEE851998 JEE917534 JEE983070 JOA10 JOA65566 JOA131102 JOA196638 JOA262174 JOA327710 JOA393246 JOA458782 JOA524318 JOA589854 JOA655390 JOA720926 JOA786462 JOA851998 JOA917534 JOA983070 JXW10 JXW65566 JXW131102 JXW196638 JXW262174 JXW327710 JXW393246 JXW458782 JXW524318 JXW589854 JXW655390 JXW720926 JXW786462 JXW851998 JXW917534 JXW983070 KHS10 KHS65566 KHS131102 KHS196638 KHS262174 KHS327710 KHS393246 KHS458782 KHS524318 KHS589854 KHS655390 KHS720926 KHS786462 KHS851998 KHS917534 KHS983070 KRO10 KRO65566 KRO131102 KRO196638 KRO262174 KRO327710 KRO393246 KRO458782 KRO524318 KRO589854 KRO655390 KRO720926 KRO786462 KRO851998 KRO917534 KRO983070 LBK10 LBK65566 LBK131102 LBK196638 LBK262174 LBK327710 LBK393246 LBK458782 LBK524318 LBK589854 LBK655390 LBK720926 LBK786462 LBK851998 LBK917534 LBK983070 LLG10 LLG65566 LLG131102 LLG196638 LLG262174 LLG327710 LLG393246 LLG458782 LLG524318 LLG589854 LLG655390 LLG720926 LLG786462 LLG851998 LLG917534 LLG983070 LVC10 LVC65566 LVC131102 LVC196638 LVC262174 LVC327710 LVC393246 LVC458782 LVC524318 LVC589854 LVC655390 LVC720926 LVC786462 LVC851998 LVC917534 LVC983070 MEY10 MEY65566 MEY131102 MEY196638 MEY262174 MEY327710 MEY393246 MEY458782 MEY524318 MEY589854 MEY655390 MEY720926 MEY786462 MEY851998 MEY917534 MEY983070 MOU10 MOU65566 MOU131102 MOU196638 MOU262174 MOU327710 MOU393246 MOU458782 MOU524318 MOU589854 MOU655390 MOU720926 MOU786462 MOU851998 MOU917534 MOU983070 MYQ10 MYQ65566 MYQ131102 MYQ196638 MYQ262174 MYQ327710 MYQ393246 MYQ458782 MYQ524318 MYQ589854 MYQ655390 MYQ720926 MYQ786462 MYQ851998 MYQ917534 MYQ983070 NIM10 NIM65566 NIM131102 NIM196638 NIM262174 NIM327710 NIM393246 NIM458782 NIM524318 NIM589854 NIM655390 NIM720926 NIM786462 NIM851998 NIM917534 NIM983070 NSI10 NSI65566 NSI131102 NSI196638 NSI262174 NSI327710 NSI393246 NSI458782 NSI524318 NSI589854 NSI655390 NSI720926 NSI786462 NSI851998 NSI917534 NSI983070 OCE10 OCE65566 OCE131102 OCE196638 OCE262174 OCE327710 OCE393246 OCE458782 OCE524318 OCE589854 OCE655390 OCE720926 OCE786462 OCE851998 OCE917534 OCE983070 OMA10 OMA65566 OMA131102 OMA196638 OMA262174 OMA327710 OMA393246 OMA458782 OMA524318 OMA589854 OMA655390 OMA720926 OMA786462 OMA851998 OMA917534 OMA983070 OVW10 OVW65566 OVW131102 OVW196638 OVW262174 OVW327710 OVW393246 OVW458782 OVW524318 OVW589854 OVW655390 OVW720926 OVW786462 OVW851998 OVW917534 OVW983070 PFS10 PFS65566 PFS131102 PFS196638 PFS262174 PFS327710 PFS393246 PFS458782 PFS524318 PFS589854 PFS655390 PFS720926 PFS786462 PFS851998 PFS917534 PFS983070 PPO10 PPO65566 PPO131102 PPO196638 PPO262174 PPO327710 PPO393246 PPO458782 PPO524318 PPO589854 PPO655390 PPO720926 PPO786462 PPO851998 PPO917534 PPO983070 PZK10 PZK65566 PZK131102 PZK196638 PZK262174 PZK327710 PZK393246 PZK458782 PZK524318 PZK589854 PZK655390 PZK720926 PZK786462 PZK851998 PZK917534 PZK983070 QJG10 QJG65566 QJG131102 QJG196638 QJG262174 QJG327710 QJG393246 QJG458782 QJG524318 QJG589854 QJG655390 QJG720926 QJG786462 QJG851998 QJG917534 QJG983070 QTC10 QTC65566 QTC131102 QTC196638 QTC262174 QTC327710 QTC393246 QTC458782 QTC524318 QTC589854 QTC655390 QTC720926 QTC786462 QTC851998 QTC917534 QTC983070 RCY10 RCY65566 RCY131102 RCY196638 RCY262174 RCY327710 RCY393246 RCY458782 RCY524318 RCY589854 RCY655390 RCY720926 RCY786462 RCY851998 RCY917534 RCY983070 RMU10 RMU65566 RMU131102 RMU196638 RMU262174 RMU327710 RMU393246 RMU458782 RMU524318 RMU589854 RMU655390 RMU720926 RMU786462 RMU851998 RMU917534 RMU983070 RWQ10 RWQ65566 RWQ131102 RWQ196638 RWQ262174 RWQ327710 RWQ393246 RWQ458782 RWQ524318 RWQ589854 RWQ655390 RWQ720926 RWQ786462 RWQ851998 RWQ917534 RWQ983070 SGM10 SGM65566 SGM131102 SGM196638 SGM262174 SGM327710 SGM393246 SGM458782 SGM524318 SGM589854 SGM655390 SGM720926 SGM786462 SGM851998 SGM917534 SGM983070 SQI10 SQI65566 SQI131102 SQI196638 SQI262174 SQI327710 SQI393246 SQI458782 SQI524318 SQI589854 SQI655390 SQI720926 SQI786462 SQI851998 SQI917534 SQI983070 TAE10 TAE65566 TAE131102 TAE196638 TAE262174 TAE327710 TAE393246 TAE458782 TAE524318 TAE589854 TAE655390 TAE720926 TAE786462 TAE851998 TAE917534 TAE983070 TKA10 TKA65566 TKA131102 TKA196638 TKA262174 TKA327710 TKA393246 TKA458782 TKA524318 TKA589854 TKA655390 TKA720926 TKA786462 TKA851998 TKA917534 TKA983070 TTW10 TTW65566 TTW131102 TTW196638 TTW262174 TTW327710 TTW393246 TTW458782 TTW524318 TTW589854 TTW655390 TTW720926 TTW786462 TTW851998 TTW917534 TTW983070 UDS10 UDS65566 UDS131102 UDS196638 UDS262174 UDS327710 UDS393246 UDS458782 UDS524318 UDS589854 UDS655390 UDS720926 UDS786462 UDS851998 UDS917534 UDS983070 UNO10 UNO65566 UNO131102 UNO196638 UNO262174 UNO327710 UNO393246 UNO458782 UNO524318 UNO589854 UNO655390 UNO720926 UNO786462 UNO851998 UNO917534 UNO983070 UXK10 UXK65566 UXK131102 UXK196638 UXK262174 UXK327710 UXK393246 UXK458782 UXK524318 UXK589854 UXK655390 UXK720926 UXK786462 UXK851998 UXK917534 UXK983070 VHG10 VHG65566 VHG131102 VHG196638 VHG262174 VHG327710 VHG393246 VHG458782 VHG524318 VHG589854 VHG655390 VHG720926 VHG786462 VHG851998 VHG917534 VHG983070 VRC10 VRC65566 VRC131102 VRC196638 VRC262174 VRC327710 VRC393246 VRC458782 VRC524318 VRC589854 VRC655390 VRC720926 VRC786462 VRC851998 VRC917534 VRC983070 WAY10 WAY65566 WAY131102 WAY196638 WAY262174 WAY327710 WAY393246 WAY458782 WAY524318 WAY589854 WAY655390 WAY720926 WAY786462 WAY851998 WAY917534 WAY983070 WKU10 WKU65566 WKU131102 WKU196638 WKU262174 WKU327710 WKU393246 WKU458782 WKU524318 WKU589854 WKU655390 WKU720926 WKU786462 WKU851998 WKU917534 WKU983070 WUQ10 WUQ65566 WUQ131102 WUQ196638 WUQ262174 WUQ327710 WUQ393246 WUQ458782 WUQ524318 WUQ589854 WUQ655390 WUQ720926 WUQ786462 WUQ851998 WUQ917534 WUQ983070" xr:uid="{00000000-0002-0000-0100-000004000000}">
      <formula1>"$,C$,Euro,GBP,NZD,US$"</formula1>
    </dataValidation>
    <dataValidation type="list" allowBlank="1" showInputMessage="1" showErrorMessage="1" sqref="D91:D100 D65639:D65648 D131175:D131184 D196711:D196720 D262247:D262256 D327783:D327792 D393319:D393328 D458855:D458864 D524391:D524400 D589927:D589936 D655463:D655472 D720999:D721008 D786535:D786544 D852071:D852080 D917607:D917616 D983143:D983152 IE91:IE100 IE65639:IE65648 IE131175:IE131184 IE196711:IE196720 IE262247:IE262256 IE327783:IE327792 IE393319:IE393328 IE458855:IE458864 IE524391:IE524400 IE589927:IE589936 IE655463:IE655472 IE720999:IE721008 IE786535:IE786544 IE852071:IE852080 IE917607:IE917616 IE983143:IE983152 SA91:SA100 SA65639:SA65648 SA131175:SA131184 SA196711:SA196720 SA262247:SA262256 SA327783:SA327792 SA393319:SA393328 SA458855:SA458864 SA524391:SA524400 SA589927:SA589936 SA655463:SA655472 SA720999:SA721008 SA786535:SA786544 SA852071:SA852080 SA917607:SA917616 SA983143:SA983152 ABW91:ABW100 ABW65639:ABW65648 ABW131175:ABW131184 ABW196711:ABW196720 ABW262247:ABW262256 ABW327783:ABW327792 ABW393319:ABW393328 ABW458855:ABW458864 ABW524391:ABW524400 ABW589927:ABW589936 ABW655463:ABW655472 ABW720999:ABW721008 ABW786535:ABW786544 ABW852071:ABW852080 ABW917607:ABW917616 ABW983143:ABW983152 ALS91:ALS100 ALS65639:ALS65648 ALS131175:ALS131184 ALS196711:ALS196720 ALS262247:ALS262256 ALS327783:ALS327792 ALS393319:ALS393328 ALS458855:ALS458864 ALS524391:ALS524400 ALS589927:ALS589936 ALS655463:ALS655472 ALS720999:ALS721008 ALS786535:ALS786544 ALS852071:ALS852080 ALS917607:ALS917616 ALS983143:ALS983152 AVO91:AVO100 AVO65639:AVO65648 AVO131175:AVO131184 AVO196711:AVO196720 AVO262247:AVO262256 AVO327783:AVO327792 AVO393319:AVO393328 AVO458855:AVO458864 AVO524391:AVO524400 AVO589927:AVO589936 AVO655463:AVO655472 AVO720999:AVO721008 AVO786535:AVO786544 AVO852071:AVO852080 AVO917607:AVO917616 AVO983143:AVO983152 BFK91:BFK100 BFK65639:BFK65648 BFK131175:BFK131184 BFK196711:BFK196720 BFK262247:BFK262256 BFK327783:BFK327792 BFK393319:BFK393328 BFK458855:BFK458864 BFK524391:BFK524400 BFK589927:BFK589936 BFK655463:BFK655472 BFK720999:BFK721008 BFK786535:BFK786544 BFK852071:BFK852080 BFK917607:BFK917616 BFK983143:BFK983152 BPG91:BPG100 BPG65639:BPG65648 BPG131175:BPG131184 BPG196711:BPG196720 BPG262247:BPG262256 BPG327783:BPG327792 BPG393319:BPG393328 BPG458855:BPG458864 BPG524391:BPG524400 BPG589927:BPG589936 BPG655463:BPG655472 BPG720999:BPG721008 BPG786535:BPG786544 BPG852071:BPG852080 BPG917607:BPG917616 BPG983143:BPG983152 BZC91:BZC100 BZC65639:BZC65648 BZC131175:BZC131184 BZC196711:BZC196720 BZC262247:BZC262256 BZC327783:BZC327792 BZC393319:BZC393328 BZC458855:BZC458864 BZC524391:BZC524400 BZC589927:BZC589936 BZC655463:BZC655472 BZC720999:BZC721008 BZC786535:BZC786544 BZC852071:BZC852080 BZC917607:BZC917616 BZC983143:BZC983152 CIY91:CIY100 CIY65639:CIY65648 CIY131175:CIY131184 CIY196711:CIY196720 CIY262247:CIY262256 CIY327783:CIY327792 CIY393319:CIY393328 CIY458855:CIY458864 CIY524391:CIY524400 CIY589927:CIY589936 CIY655463:CIY655472 CIY720999:CIY721008 CIY786535:CIY786544 CIY852071:CIY852080 CIY917607:CIY917616 CIY983143:CIY983152 CSU91:CSU100 CSU65639:CSU65648 CSU131175:CSU131184 CSU196711:CSU196720 CSU262247:CSU262256 CSU327783:CSU327792 CSU393319:CSU393328 CSU458855:CSU458864 CSU524391:CSU524400 CSU589927:CSU589936 CSU655463:CSU655472 CSU720999:CSU721008 CSU786535:CSU786544 CSU852071:CSU852080 CSU917607:CSU917616 CSU983143:CSU983152 DCQ91:DCQ100 DCQ65639:DCQ65648 DCQ131175:DCQ131184 DCQ196711:DCQ196720 DCQ262247:DCQ262256 DCQ327783:DCQ327792 DCQ393319:DCQ393328 DCQ458855:DCQ458864 DCQ524391:DCQ524400 DCQ589927:DCQ589936 DCQ655463:DCQ655472 DCQ720999:DCQ721008 DCQ786535:DCQ786544 DCQ852071:DCQ852080 DCQ917607:DCQ917616 DCQ983143:DCQ983152 DMM91:DMM100 DMM65639:DMM65648 DMM131175:DMM131184 DMM196711:DMM196720 DMM262247:DMM262256 DMM327783:DMM327792 DMM393319:DMM393328 DMM458855:DMM458864 DMM524391:DMM524400 DMM589927:DMM589936 DMM655463:DMM655472 DMM720999:DMM721008 DMM786535:DMM786544 DMM852071:DMM852080 DMM917607:DMM917616 DMM983143:DMM983152 DWI91:DWI100 DWI65639:DWI65648 DWI131175:DWI131184 DWI196711:DWI196720 DWI262247:DWI262256 DWI327783:DWI327792 DWI393319:DWI393328 DWI458855:DWI458864 DWI524391:DWI524400 DWI589927:DWI589936 DWI655463:DWI655472 DWI720999:DWI721008 DWI786535:DWI786544 DWI852071:DWI852080 DWI917607:DWI917616 DWI983143:DWI983152 EGE91:EGE100 EGE65639:EGE65648 EGE131175:EGE131184 EGE196711:EGE196720 EGE262247:EGE262256 EGE327783:EGE327792 EGE393319:EGE393328 EGE458855:EGE458864 EGE524391:EGE524400 EGE589927:EGE589936 EGE655463:EGE655472 EGE720999:EGE721008 EGE786535:EGE786544 EGE852071:EGE852080 EGE917607:EGE917616 EGE983143:EGE983152 EQA91:EQA100 EQA65639:EQA65648 EQA131175:EQA131184 EQA196711:EQA196720 EQA262247:EQA262256 EQA327783:EQA327792 EQA393319:EQA393328 EQA458855:EQA458864 EQA524391:EQA524400 EQA589927:EQA589936 EQA655463:EQA655472 EQA720999:EQA721008 EQA786535:EQA786544 EQA852071:EQA852080 EQA917607:EQA917616 EQA983143:EQA983152 EZW91:EZW100 EZW65639:EZW65648 EZW131175:EZW131184 EZW196711:EZW196720 EZW262247:EZW262256 EZW327783:EZW327792 EZW393319:EZW393328 EZW458855:EZW458864 EZW524391:EZW524400 EZW589927:EZW589936 EZW655463:EZW655472 EZW720999:EZW721008 EZW786535:EZW786544 EZW852071:EZW852080 EZW917607:EZW917616 EZW983143:EZW983152 FJS91:FJS100 FJS65639:FJS65648 FJS131175:FJS131184 FJS196711:FJS196720 FJS262247:FJS262256 FJS327783:FJS327792 FJS393319:FJS393328 FJS458855:FJS458864 FJS524391:FJS524400 FJS589927:FJS589936 FJS655463:FJS655472 FJS720999:FJS721008 FJS786535:FJS786544 FJS852071:FJS852080 FJS917607:FJS917616 FJS983143:FJS983152 FTO91:FTO100 FTO65639:FTO65648 FTO131175:FTO131184 FTO196711:FTO196720 FTO262247:FTO262256 FTO327783:FTO327792 FTO393319:FTO393328 FTO458855:FTO458864 FTO524391:FTO524400 FTO589927:FTO589936 FTO655463:FTO655472 FTO720999:FTO721008 FTO786535:FTO786544 FTO852071:FTO852080 FTO917607:FTO917616 FTO983143:FTO983152 GDK91:GDK100 GDK65639:GDK65648 GDK131175:GDK131184 GDK196711:GDK196720 GDK262247:GDK262256 GDK327783:GDK327792 GDK393319:GDK393328 GDK458855:GDK458864 GDK524391:GDK524400 GDK589927:GDK589936 GDK655463:GDK655472 GDK720999:GDK721008 GDK786535:GDK786544 GDK852071:GDK852080 GDK917607:GDK917616 GDK983143:GDK983152 GNG91:GNG100 GNG65639:GNG65648 GNG131175:GNG131184 GNG196711:GNG196720 GNG262247:GNG262256 GNG327783:GNG327792 GNG393319:GNG393328 GNG458855:GNG458864 GNG524391:GNG524400 GNG589927:GNG589936 GNG655463:GNG655472 GNG720999:GNG721008 GNG786535:GNG786544 GNG852071:GNG852080 GNG917607:GNG917616 GNG983143:GNG983152 GXC91:GXC100 GXC65639:GXC65648 GXC131175:GXC131184 GXC196711:GXC196720 GXC262247:GXC262256 GXC327783:GXC327792 GXC393319:GXC393328 GXC458855:GXC458864 GXC524391:GXC524400 GXC589927:GXC589936 GXC655463:GXC655472 GXC720999:GXC721008 GXC786535:GXC786544 GXC852071:GXC852080 GXC917607:GXC917616 GXC983143:GXC983152 HGY91:HGY100 HGY65639:HGY65648 HGY131175:HGY131184 HGY196711:HGY196720 HGY262247:HGY262256 HGY327783:HGY327792 HGY393319:HGY393328 HGY458855:HGY458864 HGY524391:HGY524400 HGY589927:HGY589936 HGY655463:HGY655472 HGY720999:HGY721008 HGY786535:HGY786544 HGY852071:HGY852080 HGY917607:HGY917616 HGY983143:HGY983152 HQU91:HQU100 HQU65639:HQU65648 HQU131175:HQU131184 HQU196711:HQU196720 HQU262247:HQU262256 HQU327783:HQU327792 HQU393319:HQU393328 HQU458855:HQU458864 HQU524391:HQU524400 HQU589927:HQU589936 HQU655463:HQU655472 HQU720999:HQU721008 HQU786535:HQU786544 HQU852071:HQU852080 HQU917607:HQU917616 HQU983143:HQU983152 IAQ91:IAQ100 IAQ65639:IAQ65648 IAQ131175:IAQ131184 IAQ196711:IAQ196720 IAQ262247:IAQ262256 IAQ327783:IAQ327792 IAQ393319:IAQ393328 IAQ458855:IAQ458864 IAQ524391:IAQ524400 IAQ589927:IAQ589936 IAQ655463:IAQ655472 IAQ720999:IAQ721008 IAQ786535:IAQ786544 IAQ852071:IAQ852080 IAQ917607:IAQ917616 IAQ983143:IAQ983152 IKM91:IKM100 IKM65639:IKM65648 IKM131175:IKM131184 IKM196711:IKM196720 IKM262247:IKM262256 IKM327783:IKM327792 IKM393319:IKM393328 IKM458855:IKM458864 IKM524391:IKM524400 IKM589927:IKM589936 IKM655463:IKM655472 IKM720999:IKM721008 IKM786535:IKM786544 IKM852071:IKM852080 IKM917607:IKM917616 IKM983143:IKM983152 IUI91:IUI100 IUI65639:IUI65648 IUI131175:IUI131184 IUI196711:IUI196720 IUI262247:IUI262256 IUI327783:IUI327792 IUI393319:IUI393328 IUI458855:IUI458864 IUI524391:IUI524400 IUI589927:IUI589936 IUI655463:IUI655472 IUI720999:IUI721008 IUI786535:IUI786544 IUI852071:IUI852080 IUI917607:IUI917616 IUI983143:IUI983152 JEE91:JEE100 JEE65639:JEE65648 JEE131175:JEE131184 JEE196711:JEE196720 JEE262247:JEE262256 JEE327783:JEE327792 JEE393319:JEE393328 JEE458855:JEE458864 JEE524391:JEE524400 JEE589927:JEE589936 JEE655463:JEE655472 JEE720999:JEE721008 JEE786535:JEE786544 JEE852071:JEE852080 JEE917607:JEE917616 JEE983143:JEE983152 JOA91:JOA100 JOA65639:JOA65648 JOA131175:JOA131184 JOA196711:JOA196720 JOA262247:JOA262256 JOA327783:JOA327792 JOA393319:JOA393328 JOA458855:JOA458864 JOA524391:JOA524400 JOA589927:JOA589936 JOA655463:JOA655472 JOA720999:JOA721008 JOA786535:JOA786544 JOA852071:JOA852080 JOA917607:JOA917616 JOA983143:JOA983152 JXW91:JXW100 JXW65639:JXW65648 JXW131175:JXW131184 JXW196711:JXW196720 JXW262247:JXW262256 JXW327783:JXW327792 JXW393319:JXW393328 JXW458855:JXW458864 JXW524391:JXW524400 JXW589927:JXW589936 JXW655463:JXW655472 JXW720999:JXW721008 JXW786535:JXW786544 JXW852071:JXW852080 JXW917607:JXW917616 JXW983143:JXW983152 KHS91:KHS100 KHS65639:KHS65648 KHS131175:KHS131184 KHS196711:KHS196720 KHS262247:KHS262256 KHS327783:KHS327792 KHS393319:KHS393328 KHS458855:KHS458864 KHS524391:KHS524400 KHS589927:KHS589936 KHS655463:KHS655472 KHS720999:KHS721008 KHS786535:KHS786544 KHS852071:KHS852080 KHS917607:KHS917616 KHS983143:KHS983152 KRO91:KRO100 KRO65639:KRO65648 KRO131175:KRO131184 KRO196711:KRO196720 KRO262247:KRO262256 KRO327783:KRO327792 KRO393319:KRO393328 KRO458855:KRO458864 KRO524391:KRO524400 KRO589927:KRO589936 KRO655463:KRO655472 KRO720999:KRO721008 KRO786535:KRO786544 KRO852071:KRO852080 KRO917607:KRO917616 KRO983143:KRO983152 LBK91:LBK100 LBK65639:LBK65648 LBK131175:LBK131184 LBK196711:LBK196720 LBK262247:LBK262256 LBK327783:LBK327792 LBK393319:LBK393328 LBK458855:LBK458864 LBK524391:LBK524400 LBK589927:LBK589936 LBK655463:LBK655472 LBK720999:LBK721008 LBK786535:LBK786544 LBK852071:LBK852080 LBK917607:LBK917616 LBK983143:LBK983152 LLG91:LLG100 LLG65639:LLG65648 LLG131175:LLG131184 LLG196711:LLG196720 LLG262247:LLG262256 LLG327783:LLG327792 LLG393319:LLG393328 LLG458855:LLG458864 LLG524391:LLG524400 LLG589927:LLG589936 LLG655463:LLG655472 LLG720999:LLG721008 LLG786535:LLG786544 LLG852071:LLG852080 LLG917607:LLG917616 LLG983143:LLG983152 LVC91:LVC100 LVC65639:LVC65648 LVC131175:LVC131184 LVC196711:LVC196720 LVC262247:LVC262256 LVC327783:LVC327792 LVC393319:LVC393328 LVC458855:LVC458864 LVC524391:LVC524400 LVC589927:LVC589936 LVC655463:LVC655472 LVC720999:LVC721008 LVC786535:LVC786544 LVC852071:LVC852080 LVC917607:LVC917616 LVC983143:LVC983152 MEY91:MEY100 MEY65639:MEY65648 MEY131175:MEY131184 MEY196711:MEY196720 MEY262247:MEY262256 MEY327783:MEY327792 MEY393319:MEY393328 MEY458855:MEY458864 MEY524391:MEY524400 MEY589927:MEY589936 MEY655463:MEY655472 MEY720999:MEY721008 MEY786535:MEY786544 MEY852071:MEY852080 MEY917607:MEY917616 MEY983143:MEY983152 MOU91:MOU100 MOU65639:MOU65648 MOU131175:MOU131184 MOU196711:MOU196720 MOU262247:MOU262256 MOU327783:MOU327792 MOU393319:MOU393328 MOU458855:MOU458864 MOU524391:MOU524400 MOU589927:MOU589936 MOU655463:MOU655472 MOU720999:MOU721008 MOU786535:MOU786544 MOU852071:MOU852080 MOU917607:MOU917616 MOU983143:MOU983152 MYQ91:MYQ100 MYQ65639:MYQ65648 MYQ131175:MYQ131184 MYQ196711:MYQ196720 MYQ262247:MYQ262256 MYQ327783:MYQ327792 MYQ393319:MYQ393328 MYQ458855:MYQ458864 MYQ524391:MYQ524400 MYQ589927:MYQ589936 MYQ655463:MYQ655472 MYQ720999:MYQ721008 MYQ786535:MYQ786544 MYQ852071:MYQ852080 MYQ917607:MYQ917616 MYQ983143:MYQ983152 NIM91:NIM100 NIM65639:NIM65648 NIM131175:NIM131184 NIM196711:NIM196720 NIM262247:NIM262256 NIM327783:NIM327792 NIM393319:NIM393328 NIM458855:NIM458864 NIM524391:NIM524400 NIM589927:NIM589936 NIM655463:NIM655472 NIM720999:NIM721008 NIM786535:NIM786544 NIM852071:NIM852080 NIM917607:NIM917616 NIM983143:NIM983152 NSI91:NSI100 NSI65639:NSI65648 NSI131175:NSI131184 NSI196711:NSI196720 NSI262247:NSI262256 NSI327783:NSI327792 NSI393319:NSI393328 NSI458855:NSI458864 NSI524391:NSI524400 NSI589927:NSI589936 NSI655463:NSI655472 NSI720999:NSI721008 NSI786535:NSI786544 NSI852071:NSI852080 NSI917607:NSI917616 NSI983143:NSI983152 OCE91:OCE100 OCE65639:OCE65648 OCE131175:OCE131184 OCE196711:OCE196720 OCE262247:OCE262256 OCE327783:OCE327792 OCE393319:OCE393328 OCE458855:OCE458864 OCE524391:OCE524400 OCE589927:OCE589936 OCE655463:OCE655472 OCE720999:OCE721008 OCE786535:OCE786544 OCE852071:OCE852080 OCE917607:OCE917616 OCE983143:OCE983152 OMA91:OMA100 OMA65639:OMA65648 OMA131175:OMA131184 OMA196711:OMA196720 OMA262247:OMA262256 OMA327783:OMA327792 OMA393319:OMA393328 OMA458855:OMA458864 OMA524391:OMA524400 OMA589927:OMA589936 OMA655463:OMA655472 OMA720999:OMA721008 OMA786535:OMA786544 OMA852071:OMA852080 OMA917607:OMA917616 OMA983143:OMA983152 OVW91:OVW100 OVW65639:OVW65648 OVW131175:OVW131184 OVW196711:OVW196720 OVW262247:OVW262256 OVW327783:OVW327792 OVW393319:OVW393328 OVW458855:OVW458864 OVW524391:OVW524400 OVW589927:OVW589936 OVW655463:OVW655472 OVW720999:OVW721008 OVW786535:OVW786544 OVW852071:OVW852080 OVW917607:OVW917616 OVW983143:OVW983152 PFS91:PFS100 PFS65639:PFS65648 PFS131175:PFS131184 PFS196711:PFS196720 PFS262247:PFS262256 PFS327783:PFS327792 PFS393319:PFS393328 PFS458855:PFS458864 PFS524391:PFS524400 PFS589927:PFS589936 PFS655463:PFS655472 PFS720999:PFS721008 PFS786535:PFS786544 PFS852071:PFS852080 PFS917607:PFS917616 PFS983143:PFS983152 PPO91:PPO100 PPO65639:PPO65648 PPO131175:PPO131184 PPO196711:PPO196720 PPO262247:PPO262256 PPO327783:PPO327792 PPO393319:PPO393328 PPO458855:PPO458864 PPO524391:PPO524400 PPO589927:PPO589936 PPO655463:PPO655472 PPO720999:PPO721008 PPO786535:PPO786544 PPO852071:PPO852080 PPO917607:PPO917616 PPO983143:PPO983152 PZK91:PZK100 PZK65639:PZK65648 PZK131175:PZK131184 PZK196711:PZK196720 PZK262247:PZK262256 PZK327783:PZK327792 PZK393319:PZK393328 PZK458855:PZK458864 PZK524391:PZK524400 PZK589927:PZK589936 PZK655463:PZK655472 PZK720999:PZK721008 PZK786535:PZK786544 PZK852071:PZK852080 PZK917607:PZK917616 PZK983143:PZK983152 QJG91:QJG100 QJG65639:QJG65648 QJG131175:QJG131184 QJG196711:QJG196720 QJG262247:QJG262256 QJG327783:QJG327792 QJG393319:QJG393328 QJG458855:QJG458864 QJG524391:QJG524400 QJG589927:QJG589936 QJG655463:QJG655472 QJG720999:QJG721008 QJG786535:QJG786544 QJG852071:QJG852080 QJG917607:QJG917616 QJG983143:QJG983152 QTC91:QTC100 QTC65639:QTC65648 QTC131175:QTC131184 QTC196711:QTC196720 QTC262247:QTC262256 QTC327783:QTC327792 QTC393319:QTC393328 QTC458855:QTC458864 QTC524391:QTC524400 QTC589927:QTC589936 QTC655463:QTC655472 QTC720999:QTC721008 QTC786535:QTC786544 QTC852071:QTC852080 QTC917607:QTC917616 QTC983143:QTC983152 RCY91:RCY100 RCY65639:RCY65648 RCY131175:RCY131184 RCY196711:RCY196720 RCY262247:RCY262256 RCY327783:RCY327792 RCY393319:RCY393328 RCY458855:RCY458864 RCY524391:RCY524400 RCY589927:RCY589936 RCY655463:RCY655472 RCY720999:RCY721008 RCY786535:RCY786544 RCY852071:RCY852080 RCY917607:RCY917616 RCY983143:RCY983152 RMU91:RMU100 RMU65639:RMU65648 RMU131175:RMU131184 RMU196711:RMU196720 RMU262247:RMU262256 RMU327783:RMU327792 RMU393319:RMU393328 RMU458855:RMU458864 RMU524391:RMU524400 RMU589927:RMU589936 RMU655463:RMU655472 RMU720999:RMU721008 RMU786535:RMU786544 RMU852071:RMU852080 RMU917607:RMU917616 RMU983143:RMU983152 RWQ91:RWQ100 RWQ65639:RWQ65648 RWQ131175:RWQ131184 RWQ196711:RWQ196720 RWQ262247:RWQ262256 RWQ327783:RWQ327792 RWQ393319:RWQ393328 RWQ458855:RWQ458864 RWQ524391:RWQ524400 RWQ589927:RWQ589936 RWQ655463:RWQ655472 RWQ720999:RWQ721008 RWQ786535:RWQ786544 RWQ852071:RWQ852080 RWQ917607:RWQ917616 RWQ983143:RWQ983152 SGM91:SGM100 SGM65639:SGM65648 SGM131175:SGM131184 SGM196711:SGM196720 SGM262247:SGM262256 SGM327783:SGM327792 SGM393319:SGM393328 SGM458855:SGM458864 SGM524391:SGM524400 SGM589927:SGM589936 SGM655463:SGM655472 SGM720999:SGM721008 SGM786535:SGM786544 SGM852071:SGM852080 SGM917607:SGM917616 SGM983143:SGM983152 SQI91:SQI100 SQI65639:SQI65648 SQI131175:SQI131184 SQI196711:SQI196720 SQI262247:SQI262256 SQI327783:SQI327792 SQI393319:SQI393328 SQI458855:SQI458864 SQI524391:SQI524400 SQI589927:SQI589936 SQI655463:SQI655472 SQI720999:SQI721008 SQI786535:SQI786544 SQI852071:SQI852080 SQI917607:SQI917616 SQI983143:SQI983152 TAE91:TAE100 TAE65639:TAE65648 TAE131175:TAE131184 TAE196711:TAE196720 TAE262247:TAE262256 TAE327783:TAE327792 TAE393319:TAE393328 TAE458855:TAE458864 TAE524391:TAE524400 TAE589927:TAE589936 TAE655463:TAE655472 TAE720999:TAE721008 TAE786535:TAE786544 TAE852071:TAE852080 TAE917607:TAE917616 TAE983143:TAE983152 TKA91:TKA100 TKA65639:TKA65648 TKA131175:TKA131184 TKA196711:TKA196720 TKA262247:TKA262256 TKA327783:TKA327792 TKA393319:TKA393328 TKA458855:TKA458864 TKA524391:TKA524400 TKA589927:TKA589936 TKA655463:TKA655472 TKA720999:TKA721008 TKA786535:TKA786544 TKA852071:TKA852080 TKA917607:TKA917616 TKA983143:TKA983152 TTW91:TTW100 TTW65639:TTW65648 TTW131175:TTW131184 TTW196711:TTW196720 TTW262247:TTW262256 TTW327783:TTW327792 TTW393319:TTW393328 TTW458855:TTW458864 TTW524391:TTW524400 TTW589927:TTW589936 TTW655463:TTW655472 TTW720999:TTW721008 TTW786535:TTW786544 TTW852071:TTW852080 TTW917607:TTW917616 TTW983143:TTW983152 UDS91:UDS100 UDS65639:UDS65648 UDS131175:UDS131184 UDS196711:UDS196720 UDS262247:UDS262256 UDS327783:UDS327792 UDS393319:UDS393328 UDS458855:UDS458864 UDS524391:UDS524400 UDS589927:UDS589936 UDS655463:UDS655472 UDS720999:UDS721008 UDS786535:UDS786544 UDS852071:UDS852080 UDS917607:UDS917616 UDS983143:UDS983152 UNO91:UNO100 UNO65639:UNO65648 UNO131175:UNO131184 UNO196711:UNO196720 UNO262247:UNO262256 UNO327783:UNO327792 UNO393319:UNO393328 UNO458855:UNO458864 UNO524391:UNO524400 UNO589927:UNO589936 UNO655463:UNO655472 UNO720999:UNO721008 UNO786535:UNO786544 UNO852071:UNO852080 UNO917607:UNO917616 UNO983143:UNO983152 UXK91:UXK100 UXK65639:UXK65648 UXK131175:UXK131184 UXK196711:UXK196720 UXK262247:UXK262256 UXK327783:UXK327792 UXK393319:UXK393328 UXK458855:UXK458864 UXK524391:UXK524400 UXK589927:UXK589936 UXK655463:UXK655472 UXK720999:UXK721008 UXK786535:UXK786544 UXK852071:UXK852080 UXK917607:UXK917616 UXK983143:UXK983152 VHG91:VHG100 VHG65639:VHG65648 VHG131175:VHG131184 VHG196711:VHG196720 VHG262247:VHG262256 VHG327783:VHG327792 VHG393319:VHG393328 VHG458855:VHG458864 VHG524391:VHG524400 VHG589927:VHG589936 VHG655463:VHG655472 VHG720999:VHG721008 VHG786535:VHG786544 VHG852071:VHG852080 VHG917607:VHG917616 VHG983143:VHG983152 VRC91:VRC100 VRC65639:VRC65648 VRC131175:VRC131184 VRC196711:VRC196720 VRC262247:VRC262256 VRC327783:VRC327792 VRC393319:VRC393328 VRC458855:VRC458864 VRC524391:VRC524400 VRC589927:VRC589936 VRC655463:VRC655472 VRC720999:VRC721008 VRC786535:VRC786544 VRC852071:VRC852080 VRC917607:VRC917616 VRC983143:VRC983152 WAY91:WAY100 WAY65639:WAY65648 WAY131175:WAY131184 WAY196711:WAY196720 WAY262247:WAY262256 WAY327783:WAY327792 WAY393319:WAY393328 WAY458855:WAY458864 WAY524391:WAY524400 WAY589927:WAY589936 WAY655463:WAY655472 WAY720999:WAY721008 WAY786535:WAY786544 WAY852071:WAY852080 WAY917607:WAY917616 WAY983143:WAY983152 WKU91:WKU100 WKU65639:WKU65648 WKU131175:WKU131184 WKU196711:WKU196720 WKU262247:WKU262256 WKU327783:WKU327792 WKU393319:WKU393328 WKU458855:WKU458864 WKU524391:WKU524400 WKU589927:WKU589936 WKU655463:WKU655472 WKU720999:WKU721008 WKU786535:WKU786544 WKU852071:WKU852080 WKU917607:WKU917616 WKU983143:WKU983152 WUQ91:WUQ100 WUQ65639:WUQ65648 WUQ131175:WUQ131184 WUQ196711:WUQ196720 WUQ262247:WUQ262256 WUQ327783:WUQ327792 WUQ393319:WUQ393328 WUQ458855:WUQ458864 WUQ524391:WUQ524400 WUQ589927:WUQ589936 WUQ655463:WUQ655472 WUQ720999:WUQ721008 WUQ786535:WUQ786544 WUQ852071:WUQ852080 WUQ917607:WUQ917616 WUQ983143:WUQ983152" xr:uid="{00000000-0002-0000-0100-000005000000}">
      <formula1>"000s,m,US$m,$m,US$/t,$/t,%,US$/bbl,US$/mmbtu,$/GJ,A$/US$,USc/lb,US$/oz"</formula1>
    </dataValidation>
    <dataValidation type="list" allowBlank="1" showInputMessage="1" showErrorMessage="1" sqref="D109 D65657 D131193 D196729 D262265 D327801 D393337 D458873 D524409 D589945 D655481 D721017 D786553 D852089 D917625 D983161 IE109 IE65657 IE131193 IE196729 IE262265 IE327801 IE393337 IE458873 IE524409 IE589945 IE655481 IE721017 IE786553 IE852089 IE917625 IE983161 SA109 SA65657 SA131193 SA196729 SA262265 SA327801 SA393337 SA458873 SA524409 SA589945 SA655481 SA721017 SA786553 SA852089 SA917625 SA983161 ABW109 ABW65657 ABW131193 ABW196729 ABW262265 ABW327801 ABW393337 ABW458873 ABW524409 ABW589945 ABW655481 ABW721017 ABW786553 ABW852089 ABW917625 ABW983161 ALS109 ALS65657 ALS131193 ALS196729 ALS262265 ALS327801 ALS393337 ALS458873 ALS524409 ALS589945 ALS655481 ALS721017 ALS786553 ALS852089 ALS917625 ALS983161 AVO109 AVO65657 AVO131193 AVO196729 AVO262265 AVO327801 AVO393337 AVO458873 AVO524409 AVO589945 AVO655481 AVO721017 AVO786553 AVO852089 AVO917625 AVO983161 BFK109 BFK65657 BFK131193 BFK196729 BFK262265 BFK327801 BFK393337 BFK458873 BFK524409 BFK589945 BFK655481 BFK721017 BFK786553 BFK852089 BFK917625 BFK983161 BPG109 BPG65657 BPG131193 BPG196729 BPG262265 BPG327801 BPG393337 BPG458873 BPG524409 BPG589945 BPG655481 BPG721017 BPG786553 BPG852089 BPG917625 BPG983161 BZC109 BZC65657 BZC131193 BZC196729 BZC262265 BZC327801 BZC393337 BZC458873 BZC524409 BZC589945 BZC655481 BZC721017 BZC786553 BZC852089 BZC917625 BZC983161 CIY109 CIY65657 CIY131193 CIY196729 CIY262265 CIY327801 CIY393337 CIY458873 CIY524409 CIY589945 CIY655481 CIY721017 CIY786553 CIY852089 CIY917625 CIY983161 CSU109 CSU65657 CSU131193 CSU196729 CSU262265 CSU327801 CSU393337 CSU458873 CSU524409 CSU589945 CSU655481 CSU721017 CSU786553 CSU852089 CSU917625 CSU983161 DCQ109 DCQ65657 DCQ131193 DCQ196729 DCQ262265 DCQ327801 DCQ393337 DCQ458873 DCQ524409 DCQ589945 DCQ655481 DCQ721017 DCQ786553 DCQ852089 DCQ917625 DCQ983161 DMM109 DMM65657 DMM131193 DMM196729 DMM262265 DMM327801 DMM393337 DMM458873 DMM524409 DMM589945 DMM655481 DMM721017 DMM786553 DMM852089 DMM917625 DMM983161 DWI109 DWI65657 DWI131193 DWI196729 DWI262265 DWI327801 DWI393337 DWI458873 DWI524409 DWI589945 DWI655481 DWI721017 DWI786553 DWI852089 DWI917625 DWI983161 EGE109 EGE65657 EGE131193 EGE196729 EGE262265 EGE327801 EGE393337 EGE458873 EGE524409 EGE589945 EGE655481 EGE721017 EGE786553 EGE852089 EGE917625 EGE983161 EQA109 EQA65657 EQA131193 EQA196729 EQA262265 EQA327801 EQA393337 EQA458873 EQA524409 EQA589945 EQA655481 EQA721017 EQA786553 EQA852089 EQA917625 EQA983161 EZW109 EZW65657 EZW131193 EZW196729 EZW262265 EZW327801 EZW393337 EZW458873 EZW524409 EZW589945 EZW655481 EZW721017 EZW786553 EZW852089 EZW917625 EZW983161 FJS109 FJS65657 FJS131193 FJS196729 FJS262265 FJS327801 FJS393337 FJS458873 FJS524409 FJS589945 FJS655481 FJS721017 FJS786553 FJS852089 FJS917625 FJS983161 FTO109 FTO65657 FTO131193 FTO196729 FTO262265 FTO327801 FTO393337 FTO458873 FTO524409 FTO589945 FTO655481 FTO721017 FTO786553 FTO852089 FTO917625 FTO983161 GDK109 GDK65657 GDK131193 GDK196729 GDK262265 GDK327801 GDK393337 GDK458873 GDK524409 GDK589945 GDK655481 GDK721017 GDK786553 GDK852089 GDK917625 GDK983161 GNG109 GNG65657 GNG131193 GNG196729 GNG262265 GNG327801 GNG393337 GNG458873 GNG524409 GNG589945 GNG655481 GNG721017 GNG786553 GNG852089 GNG917625 GNG983161 GXC109 GXC65657 GXC131193 GXC196729 GXC262265 GXC327801 GXC393337 GXC458873 GXC524409 GXC589945 GXC655481 GXC721017 GXC786553 GXC852089 GXC917625 GXC983161 HGY109 HGY65657 HGY131193 HGY196729 HGY262265 HGY327801 HGY393337 HGY458873 HGY524409 HGY589945 HGY655481 HGY721017 HGY786553 HGY852089 HGY917625 HGY983161 HQU109 HQU65657 HQU131193 HQU196729 HQU262265 HQU327801 HQU393337 HQU458873 HQU524409 HQU589945 HQU655481 HQU721017 HQU786553 HQU852089 HQU917625 HQU983161 IAQ109 IAQ65657 IAQ131193 IAQ196729 IAQ262265 IAQ327801 IAQ393337 IAQ458873 IAQ524409 IAQ589945 IAQ655481 IAQ721017 IAQ786553 IAQ852089 IAQ917625 IAQ983161 IKM109 IKM65657 IKM131193 IKM196729 IKM262265 IKM327801 IKM393337 IKM458873 IKM524409 IKM589945 IKM655481 IKM721017 IKM786553 IKM852089 IKM917625 IKM983161 IUI109 IUI65657 IUI131193 IUI196729 IUI262265 IUI327801 IUI393337 IUI458873 IUI524409 IUI589945 IUI655481 IUI721017 IUI786553 IUI852089 IUI917625 IUI983161 JEE109 JEE65657 JEE131193 JEE196729 JEE262265 JEE327801 JEE393337 JEE458873 JEE524409 JEE589945 JEE655481 JEE721017 JEE786553 JEE852089 JEE917625 JEE983161 JOA109 JOA65657 JOA131193 JOA196729 JOA262265 JOA327801 JOA393337 JOA458873 JOA524409 JOA589945 JOA655481 JOA721017 JOA786553 JOA852089 JOA917625 JOA983161 JXW109 JXW65657 JXW131193 JXW196729 JXW262265 JXW327801 JXW393337 JXW458873 JXW524409 JXW589945 JXW655481 JXW721017 JXW786553 JXW852089 JXW917625 JXW983161 KHS109 KHS65657 KHS131193 KHS196729 KHS262265 KHS327801 KHS393337 KHS458873 KHS524409 KHS589945 KHS655481 KHS721017 KHS786553 KHS852089 KHS917625 KHS983161 KRO109 KRO65657 KRO131193 KRO196729 KRO262265 KRO327801 KRO393337 KRO458873 KRO524409 KRO589945 KRO655481 KRO721017 KRO786553 KRO852089 KRO917625 KRO983161 LBK109 LBK65657 LBK131193 LBK196729 LBK262265 LBK327801 LBK393337 LBK458873 LBK524409 LBK589945 LBK655481 LBK721017 LBK786553 LBK852089 LBK917625 LBK983161 LLG109 LLG65657 LLG131193 LLG196729 LLG262265 LLG327801 LLG393337 LLG458873 LLG524409 LLG589945 LLG655481 LLG721017 LLG786553 LLG852089 LLG917625 LLG983161 LVC109 LVC65657 LVC131193 LVC196729 LVC262265 LVC327801 LVC393337 LVC458873 LVC524409 LVC589945 LVC655481 LVC721017 LVC786553 LVC852089 LVC917625 LVC983161 MEY109 MEY65657 MEY131193 MEY196729 MEY262265 MEY327801 MEY393337 MEY458873 MEY524409 MEY589945 MEY655481 MEY721017 MEY786553 MEY852089 MEY917625 MEY983161 MOU109 MOU65657 MOU131193 MOU196729 MOU262265 MOU327801 MOU393337 MOU458873 MOU524409 MOU589945 MOU655481 MOU721017 MOU786553 MOU852089 MOU917625 MOU983161 MYQ109 MYQ65657 MYQ131193 MYQ196729 MYQ262265 MYQ327801 MYQ393337 MYQ458873 MYQ524409 MYQ589945 MYQ655481 MYQ721017 MYQ786553 MYQ852089 MYQ917625 MYQ983161 NIM109 NIM65657 NIM131193 NIM196729 NIM262265 NIM327801 NIM393337 NIM458873 NIM524409 NIM589945 NIM655481 NIM721017 NIM786553 NIM852089 NIM917625 NIM983161 NSI109 NSI65657 NSI131193 NSI196729 NSI262265 NSI327801 NSI393337 NSI458873 NSI524409 NSI589945 NSI655481 NSI721017 NSI786553 NSI852089 NSI917625 NSI983161 OCE109 OCE65657 OCE131193 OCE196729 OCE262265 OCE327801 OCE393337 OCE458873 OCE524409 OCE589945 OCE655481 OCE721017 OCE786553 OCE852089 OCE917625 OCE983161 OMA109 OMA65657 OMA131193 OMA196729 OMA262265 OMA327801 OMA393337 OMA458873 OMA524409 OMA589945 OMA655481 OMA721017 OMA786553 OMA852089 OMA917625 OMA983161 OVW109 OVW65657 OVW131193 OVW196729 OVW262265 OVW327801 OVW393337 OVW458873 OVW524409 OVW589945 OVW655481 OVW721017 OVW786553 OVW852089 OVW917625 OVW983161 PFS109 PFS65657 PFS131193 PFS196729 PFS262265 PFS327801 PFS393337 PFS458873 PFS524409 PFS589945 PFS655481 PFS721017 PFS786553 PFS852089 PFS917625 PFS983161 PPO109 PPO65657 PPO131193 PPO196729 PPO262265 PPO327801 PPO393337 PPO458873 PPO524409 PPO589945 PPO655481 PPO721017 PPO786553 PPO852089 PPO917625 PPO983161 PZK109 PZK65657 PZK131193 PZK196729 PZK262265 PZK327801 PZK393337 PZK458873 PZK524409 PZK589945 PZK655481 PZK721017 PZK786553 PZK852089 PZK917625 PZK983161 QJG109 QJG65657 QJG131193 QJG196729 QJG262265 QJG327801 QJG393337 QJG458873 QJG524409 QJG589945 QJG655481 QJG721017 QJG786553 QJG852089 QJG917625 QJG983161 QTC109 QTC65657 QTC131193 QTC196729 QTC262265 QTC327801 QTC393337 QTC458873 QTC524409 QTC589945 QTC655481 QTC721017 QTC786553 QTC852089 QTC917625 QTC983161 RCY109 RCY65657 RCY131193 RCY196729 RCY262265 RCY327801 RCY393337 RCY458873 RCY524409 RCY589945 RCY655481 RCY721017 RCY786553 RCY852089 RCY917625 RCY983161 RMU109 RMU65657 RMU131193 RMU196729 RMU262265 RMU327801 RMU393337 RMU458873 RMU524409 RMU589945 RMU655481 RMU721017 RMU786553 RMU852089 RMU917625 RMU983161 RWQ109 RWQ65657 RWQ131193 RWQ196729 RWQ262265 RWQ327801 RWQ393337 RWQ458873 RWQ524409 RWQ589945 RWQ655481 RWQ721017 RWQ786553 RWQ852089 RWQ917625 RWQ983161 SGM109 SGM65657 SGM131193 SGM196729 SGM262265 SGM327801 SGM393337 SGM458873 SGM524409 SGM589945 SGM655481 SGM721017 SGM786553 SGM852089 SGM917625 SGM983161 SQI109 SQI65657 SQI131193 SQI196729 SQI262265 SQI327801 SQI393337 SQI458873 SQI524409 SQI589945 SQI655481 SQI721017 SQI786553 SQI852089 SQI917625 SQI983161 TAE109 TAE65657 TAE131193 TAE196729 TAE262265 TAE327801 TAE393337 TAE458873 TAE524409 TAE589945 TAE655481 TAE721017 TAE786553 TAE852089 TAE917625 TAE983161 TKA109 TKA65657 TKA131193 TKA196729 TKA262265 TKA327801 TKA393337 TKA458873 TKA524409 TKA589945 TKA655481 TKA721017 TKA786553 TKA852089 TKA917625 TKA983161 TTW109 TTW65657 TTW131193 TTW196729 TTW262265 TTW327801 TTW393337 TTW458873 TTW524409 TTW589945 TTW655481 TTW721017 TTW786553 TTW852089 TTW917625 TTW983161 UDS109 UDS65657 UDS131193 UDS196729 UDS262265 UDS327801 UDS393337 UDS458873 UDS524409 UDS589945 UDS655481 UDS721017 UDS786553 UDS852089 UDS917625 UDS983161 UNO109 UNO65657 UNO131193 UNO196729 UNO262265 UNO327801 UNO393337 UNO458873 UNO524409 UNO589945 UNO655481 UNO721017 UNO786553 UNO852089 UNO917625 UNO983161 UXK109 UXK65657 UXK131193 UXK196729 UXK262265 UXK327801 UXK393337 UXK458873 UXK524409 UXK589945 UXK655481 UXK721017 UXK786553 UXK852089 UXK917625 UXK983161 VHG109 VHG65657 VHG131193 VHG196729 VHG262265 VHG327801 VHG393337 VHG458873 VHG524409 VHG589945 VHG655481 VHG721017 VHG786553 VHG852089 VHG917625 VHG983161 VRC109 VRC65657 VRC131193 VRC196729 VRC262265 VRC327801 VRC393337 VRC458873 VRC524409 VRC589945 VRC655481 VRC721017 VRC786553 VRC852089 VRC917625 VRC983161 WAY109 WAY65657 WAY131193 WAY196729 WAY262265 WAY327801 WAY393337 WAY458873 WAY524409 WAY589945 WAY655481 WAY721017 WAY786553 WAY852089 WAY917625 WAY983161 WKU109 WKU65657 WKU131193 WKU196729 WKU262265 WKU327801 WKU393337 WKU458873 WKU524409 WKU589945 WKU655481 WKU721017 WKU786553 WKU852089 WKU917625 WKU983161 WUQ109 WUQ65657 WUQ131193 WUQ196729 WUQ262265 WUQ327801 WUQ393337 WUQ458873 WUQ524409 WUQ589945 WUQ655481 WUQ721017 WUQ786553 WUQ852089 WUQ917625 WUQ983161" xr:uid="{00000000-0002-0000-0100-000006000000}">
      <formula1>"AS44,AS45,AS51"</formula1>
    </dataValidation>
  </dataValidations>
  <pageMargins left="0.7" right="0.7" top="0.75" bottom="0.75" header="0.3" footer="0.3"/>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
  <sheetViews>
    <sheetView topLeftCell="A4" workbookViewId="0">
      <selection activeCell="O15" sqref="O15"/>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pageSetUpPr autoPageBreaks="0"/>
  </sheetPr>
  <dimension ref="A2:DH92"/>
  <sheetViews>
    <sheetView showGridLines="0" zoomScale="115" zoomScaleNormal="115" workbookViewId="0">
      <pane xSplit="4" ySplit="3" topLeftCell="X25" activePane="bottomRight" state="frozen"/>
      <selection activeCell="H167" sqref="H167"/>
      <selection pane="topRight" activeCell="H167" sqref="H167"/>
      <selection pane="bottomLeft" activeCell="H167" sqref="H167"/>
      <selection pane="bottomRight" activeCell="Y41" sqref="Y41"/>
    </sheetView>
  </sheetViews>
  <sheetFormatPr defaultColWidth="0" defaultRowHeight="11.25" outlineLevelRow="1" x14ac:dyDescent="0.2"/>
  <cols>
    <col min="1" max="1" width="9.5703125" style="218" customWidth="1"/>
    <col min="2" max="2" width="27" style="218" customWidth="1"/>
    <col min="3" max="3" width="8.7109375" style="205" bestFit="1" customWidth="1"/>
    <col min="4" max="4" width="9" style="218" bestFit="1" customWidth="1"/>
    <col min="5" max="80" width="8.7109375" style="218" customWidth="1"/>
    <col min="81" max="82" width="8.7109375" style="218" hidden="1" customWidth="1"/>
    <col min="83" max="112" width="0" style="218" hidden="1" customWidth="1"/>
    <col min="113" max="113" width="8.7109375" style="218" hidden="1" customWidth="1"/>
    <col min="114" max="16384" width="8.7109375" style="218" hidden="1"/>
  </cols>
  <sheetData>
    <row r="2" spans="1:80" s="204" customFormat="1" x14ac:dyDescent="0.2">
      <c r="A2" s="198" t="s">
        <v>7</v>
      </c>
      <c r="B2" s="199" t="s">
        <v>8</v>
      </c>
      <c r="C2" s="200"/>
      <c r="D2" s="201" t="s">
        <v>9</v>
      </c>
      <c r="E2" s="202" t="str">
        <f t="shared" ref="E2:AJ2" si="0">E8&amp;E12</f>
        <v>1Q22A</v>
      </c>
      <c r="F2" s="407" t="str">
        <f t="shared" si="0"/>
        <v>2Q22A</v>
      </c>
      <c r="G2" s="407" t="str">
        <f t="shared" si="0"/>
        <v>3Q22A</v>
      </c>
      <c r="H2" s="203" t="str">
        <f t="shared" si="0"/>
        <v>4Q22A</v>
      </c>
      <c r="I2" s="202" t="str">
        <f t="shared" si="0"/>
        <v>1Q23A</v>
      </c>
      <c r="J2" s="407" t="str">
        <f t="shared" si="0"/>
        <v>2Q23A</v>
      </c>
      <c r="K2" s="407" t="str">
        <f t="shared" si="0"/>
        <v>3Q23A</v>
      </c>
      <c r="L2" s="203" t="str">
        <f t="shared" si="0"/>
        <v>4Q23A</v>
      </c>
      <c r="M2" s="202" t="str">
        <f t="shared" si="0"/>
        <v>1Q24A</v>
      </c>
      <c r="N2" s="407" t="str">
        <f t="shared" si="0"/>
        <v>2Q24A</v>
      </c>
      <c r="O2" s="407" t="str">
        <f t="shared" si="0"/>
        <v>3Q24A</v>
      </c>
      <c r="P2" s="203" t="str">
        <f t="shared" si="0"/>
        <v>4Q24A</v>
      </c>
      <c r="Q2" s="202" t="str">
        <f t="shared" si="0"/>
        <v>1Q25A</v>
      </c>
      <c r="R2" s="407" t="str">
        <f t="shared" si="0"/>
        <v>2Q25A</v>
      </c>
      <c r="S2" s="407" t="str">
        <f t="shared" si="0"/>
        <v>3Q25A</v>
      </c>
      <c r="T2" s="203" t="str">
        <f t="shared" si="0"/>
        <v>4Q25A</v>
      </c>
      <c r="U2" s="202" t="str">
        <f t="shared" si="0"/>
        <v>1Q26A</v>
      </c>
      <c r="V2" s="407" t="str">
        <f t="shared" si="0"/>
        <v>2Q26A</v>
      </c>
      <c r="W2" s="407" t="str">
        <f t="shared" si="0"/>
        <v>3Q26E</v>
      </c>
      <c r="X2" s="203" t="str">
        <f t="shared" si="0"/>
        <v>4Q26E</v>
      </c>
      <c r="Y2" s="202" t="str">
        <f t="shared" si="0"/>
        <v>1Q27E</v>
      </c>
      <c r="Z2" s="407" t="str">
        <f t="shared" si="0"/>
        <v>2Q27E</v>
      </c>
      <c r="AA2" s="407" t="str">
        <f t="shared" si="0"/>
        <v>3Q27E</v>
      </c>
      <c r="AB2" s="203" t="str">
        <f t="shared" si="0"/>
        <v>4Q27E</v>
      </c>
      <c r="AC2" s="202" t="str">
        <f t="shared" si="0"/>
        <v>1Q28E</v>
      </c>
      <c r="AD2" s="407" t="str">
        <f t="shared" si="0"/>
        <v>2Q28E</v>
      </c>
      <c r="AE2" s="407" t="str">
        <f t="shared" si="0"/>
        <v>3Q28E</v>
      </c>
      <c r="AF2" s="203" t="str">
        <f t="shared" si="0"/>
        <v>4Q28E</v>
      </c>
      <c r="AG2" s="202" t="str">
        <f t="shared" si="0"/>
        <v>1Q29E</v>
      </c>
      <c r="AH2" s="407" t="str">
        <f t="shared" si="0"/>
        <v>2Q29E</v>
      </c>
      <c r="AI2" s="407" t="str">
        <f t="shared" si="0"/>
        <v>3Q29E</v>
      </c>
      <c r="AJ2" s="203" t="str">
        <f t="shared" si="0"/>
        <v>4Q29E</v>
      </c>
      <c r="AK2" s="202" t="str">
        <f t="shared" ref="AK2:BP2" si="1">AK8&amp;AK12</f>
        <v>1Q30E</v>
      </c>
      <c r="AL2" s="407" t="str">
        <f t="shared" si="1"/>
        <v>2Q30E</v>
      </c>
      <c r="AM2" s="407" t="str">
        <f t="shared" si="1"/>
        <v>3Q30E</v>
      </c>
      <c r="AN2" s="203" t="str">
        <f t="shared" si="1"/>
        <v>4Q30E</v>
      </c>
      <c r="AO2" s="202" t="str">
        <f t="shared" si="1"/>
        <v>1Q31E</v>
      </c>
      <c r="AP2" s="407" t="str">
        <f t="shared" si="1"/>
        <v>2Q31E</v>
      </c>
      <c r="AQ2" s="407" t="str">
        <f t="shared" si="1"/>
        <v>3Q31E</v>
      </c>
      <c r="AR2" s="203" t="str">
        <f t="shared" si="1"/>
        <v>4Q31E</v>
      </c>
      <c r="AS2" s="202" t="str">
        <f t="shared" si="1"/>
        <v>1Q32E</v>
      </c>
      <c r="AT2" s="407" t="str">
        <f t="shared" si="1"/>
        <v>2Q32E</v>
      </c>
      <c r="AU2" s="407" t="str">
        <f t="shared" si="1"/>
        <v>3Q32E</v>
      </c>
      <c r="AV2" s="203" t="str">
        <f t="shared" si="1"/>
        <v>4Q32E</v>
      </c>
      <c r="AW2" s="202" t="str">
        <f t="shared" si="1"/>
        <v>1Q33E</v>
      </c>
      <c r="AX2" s="407" t="str">
        <f t="shared" si="1"/>
        <v>2Q33E</v>
      </c>
      <c r="AY2" s="407" t="str">
        <f t="shared" si="1"/>
        <v>3Q33E</v>
      </c>
      <c r="AZ2" s="203" t="str">
        <f t="shared" si="1"/>
        <v>4Q33E</v>
      </c>
      <c r="BA2" s="202" t="str">
        <f t="shared" si="1"/>
        <v>1Q34E</v>
      </c>
      <c r="BB2" s="407" t="str">
        <f t="shared" si="1"/>
        <v>2Q34E</v>
      </c>
      <c r="BC2" s="407" t="str">
        <f t="shared" si="1"/>
        <v>3Q34E</v>
      </c>
      <c r="BD2" s="203" t="str">
        <f t="shared" si="1"/>
        <v>4Q34E</v>
      </c>
      <c r="BE2" s="202" t="str">
        <f t="shared" si="1"/>
        <v>1Q35E</v>
      </c>
      <c r="BF2" s="407" t="str">
        <f t="shared" si="1"/>
        <v>2Q35E</v>
      </c>
      <c r="BG2" s="407" t="str">
        <f t="shared" si="1"/>
        <v>3Q35E</v>
      </c>
      <c r="BH2" s="203" t="str">
        <f t="shared" si="1"/>
        <v>4Q35E</v>
      </c>
      <c r="BI2" s="202" t="str">
        <f t="shared" si="1"/>
        <v>1Q36E</v>
      </c>
      <c r="BJ2" s="407" t="str">
        <f t="shared" si="1"/>
        <v>2Q36E</v>
      </c>
      <c r="BK2" s="407" t="str">
        <f t="shared" si="1"/>
        <v>3Q36E</v>
      </c>
      <c r="BL2" s="203" t="str">
        <f t="shared" si="1"/>
        <v>4Q36E</v>
      </c>
      <c r="BM2" s="202" t="str">
        <f t="shared" si="1"/>
        <v>1Q37E</v>
      </c>
      <c r="BN2" s="407" t="str">
        <f t="shared" si="1"/>
        <v>2Q37E</v>
      </c>
      <c r="BO2" s="407" t="str">
        <f t="shared" si="1"/>
        <v>3Q37E</v>
      </c>
      <c r="BP2" s="203" t="str">
        <f t="shared" si="1"/>
        <v>4Q37E</v>
      </c>
      <c r="BQ2" s="202" t="str">
        <f t="shared" ref="BQ2:CB2" si="2">BQ8&amp;BQ12</f>
        <v>1Q38E</v>
      </c>
      <c r="BR2" s="407" t="str">
        <f t="shared" si="2"/>
        <v>2Q38E</v>
      </c>
      <c r="BS2" s="407" t="str">
        <f t="shared" si="2"/>
        <v>3Q38E</v>
      </c>
      <c r="BT2" s="203" t="str">
        <f t="shared" si="2"/>
        <v>4Q38E</v>
      </c>
      <c r="BU2" s="202" t="str">
        <f t="shared" si="2"/>
        <v>1Q39E</v>
      </c>
      <c r="BV2" s="407" t="str">
        <f t="shared" si="2"/>
        <v>2Q39E</v>
      </c>
      <c r="BW2" s="407" t="str">
        <f t="shared" si="2"/>
        <v>3Q39E</v>
      </c>
      <c r="BX2" s="203" t="str">
        <f t="shared" si="2"/>
        <v>4Q39E</v>
      </c>
      <c r="BY2" s="202" t="str">
        <f t="shared" si="2"/>
        <v>1Q40E</v>
      </c>
      <c r="BZ2" s="407" t="str">
        <f t="shared" si="2"/>
        <v>2Q40E</v>
      </c>
      <c r="CA2" s="407" t="str">
        <f t="shared" si="2"/>
        <v>3Q40E</v>
      </c>
      <c r="CB2" s="203" t="str">
        <f t="shared" si="2"/>
        <v>4Q40E</v>
      </c>
    </row>
    <row r="3" spans="1:80" s="205" customFormat="1" x14ac:dyDescent="0.2">
      <c r="B3" s="206" t="s">
        <v>10</v>
      </c>
      <c r="C3" s="207"/>
      <c r="D3" s="208"/>
      <c r="E3" s="209">
        <v>44469</v>
      </c>
      <c r="F3" s="207">
        <f t="shared" ref="F3:AK3" si="3">EOMONTH(E3,3)</f>
        <v>44561</v>
      </c>
      <c r="G3" s="207">
        <f t="shared" si="3"/>
        <v>44651</v>
      </c>
      <c r="H3" s="210">
        <f t="shared" si="3"/>
        <v>44742</v>
      </c>
      <c r="I3" s="209">
        <f t="shared" si="3"/>
        <v>44834</v>
      </c>
      <c r="J3" s="207">
        <f t="shared" si="3"/>
        <v>44926</v>
      </c>
      <c r="K3" s="207">
        <f t="shared" si="3"/>
        <v>45016</v>
      </c>
      <c r="L3" s="210">
        <f t="shared" si="3"/>
        <v>45107</v>
      </c>
      <c r="M3" s="209">
        <f t="shared" si="3"/>
        <v>45199</v>
      </c>
      <c r="N3" s="207">
        <f t="shared" si="3"/>
        <v>45291</v>
      </c>
      <c r="O3" s="207">
        <f t="shared" si="3"/>
        <v>45382</v>
      </c>
      <c r="P3" s="210">
        <f t="shared" si="3"/>
        <v>45473</v>
      </c>
      <c r="Q3" s="209">
        <f t="shared" si="3"/>
        <v>45565</v>
      </c>
      <c r="R3" s="207">
        <f t="shared" si="3"/>
        <v>45657</v>
      </c>
      <c r="S3" s="207">
        <f t="shared" si="3"/>
        <v>45747</v>
      </c>
      <c r="T3" s="210">
        <f t="shared" si="3"/>
        <v>45838</v>
      </c>
      <c r="U3" s="209">
        <f t="shared" si="3"/>
        <v>45930</v>
      </c>
      <c r="V3" s="207">
        <f t="shared" si="3"/>
        <v>46022</v>
      </c>
      <c r="W3" s="207">
        <f t="shared" si="3"/>
        <v>46112</v>
      </c>
      <c r="X3" s="210">
        <f t="shared" si="3"/>
        <v>46203</v>
      </c>
      <c r="Y3" s="209">
        <f t="shared" si="3"/>
        <v>46295</v>
      </c>
      <c r="Z3" s="207">
        <f t="shared" si="3"/>
        <v>46387</v>
      </c>
      <c r="AA3" s="207">
        <f t="shared" si="3"/>
        <v>46477</v>
      </c>
      <c r="AB3" s="210">
        <f t="shared" si="3"/>
        <v>46568</v>
      </c>
      <c r="AC3" s="209">
        <f t="shared" si="3"/>
        <v>46660</v>
      </c>
      <c r="AD3" s="207">
        <f t="shared" si="3"/>
        <v>46752</v>
      </c>
      <c r="AE3" s="207">
        <f t="shared" si="3"/>
        <v>46843</v>
      </c>
      <c r="AF3" s="210">
        <f t="shared" si="3"/>
        <v>46934</v>
      </c>
      <c r="AG3" s="209">
        <f t="shared" si="3"/>
        <v>47026</v>
      </c>
      <c r="AH3" s="207">
        <f t="shared" si="3"/>
        <v>47118</v>
      </c>
      <c r="AI3" s="207">
        <f t="shared" si="3"/>
        <v>47208</v>
      </c>
      <c r="AJ3" s="210">
        <f t="shared" si="3"/>
        <v>47299</v>
      </c>
      <c r="AK3" s="209">
        <f t="shared" si="3"/>
        <v>47391</v>
      </c>
      <c r="AL3" s="207">
        <f t="shared" ref="AL3:BQ3" si="4">EOMONTH(AK3,3)</f>
        <v>47483</v>
      </c>
      <c r="AM3" s="207">
        <f t="shared" si="4"/>
        <v>47573</v>
      </c>
      <c r="AN3" s="210">
        <f t="shared" si="4"/>
        <v>47664</v>
      </c>
      <c r="AO3" s="209">
        <f t="shared" si="4"/>
        <v>47756</v>
      </c>
      <c r="AP3" s="207">
        <f t="shared" si="4"/>
        <v>47848</v>
      </c>
      <c r="AQ3" s="207">
        <f t="shared" si="4"/>
        <v>47938</v>
      </c>
      <c r="AR3" s="210">
        <f t="shared" si="4"/>
        <v>48029</v>
      </c>
      <c r="AS3" s="209">
        <f t="shared" si="4"/>
        <v>48121</v>
      </c>
      <c r="AT3" s="207">
        <f t="shared" si="4"/>
        <v>48213</v>
      </c>
      <c r="AU3" s="207">
        <f t="shared" si="4"/>
        <v>48304</v>
      </c>
      <c r="AV3" s="210">
        <f t="shared" si="4"/>
        <v>48395</v>
      </c>
      <c r="AW3" s="209">
        <f t="shared" si="4"/>
        <v>48487</v>
      </c>
      <c r="AX3" s="207">
        <f t="shared" si="4"/>
        <v>48579</v>
      </c>
      <c r="AY3" s="207">
        <f t="shared" si="4"/>
        <v>48669</v>
      </c>
      <c r="AZ3" s="210">
        <f t="shared" si="4"/>
        <v>48760</v>
      </c>
      <c r="BA3" s="209">
        <f t="shared" si="4"/>
        <v>48852</v>
      </c>
      <c r="BB3" s="207">
        <f t="shared" si="4"/>
        <v>48944</v>
      </c>
      <c r="BC3" s="207">
        <f t="shared" si="4"/>
        <v>49034</v>
      </c>
      <c r="BD3" s="210">
        <f t="shared" si="4"/>
        <v>49125</v>
      </c>
      <c r="BE3" s="209">
        <f t="shared" si="4"/>
        <v>49217</v>
      </c>
      <c r="BF3" s="207">
        <f t="shared" si="4"/>
        <v>49309</v>
      </c>
      <c r="BG3" s="207">
        <f t="shared" si="4"/>
        <v>49399</v>
      </c>
      <c r="BH3" s="210">
        <f t="shared" si="4"/>
        <v>49490</v>
      </c>
      <c r="BI3" s="209">
        <f t="shared" si="4"/>
        <v>49582</v>
      </c>
      <c r="BJ3" s="207">
        <f t="shared" si="4"/>
        <v>49674</v>
      </c>
      <c r="BK3" s="207">
        <f t="shared" si="4"/>
        <v>49765</v>
      </c>
      <c r="BL3" s="210">
        <f t="shared" si="4"/>
        <v>49856</v>
      </c>
      <c r="BM3" s="209">
        <f t="shared" si="4"/>
        <v>49948</v>
      </c>
      <c r="BN3" s="207">
        <f t="shared" si="4"/>
        <v>50040</v>
      </c>
      <c r="BO3" s="207">
        <f t="shared" si="4"/>
        <v>50130</v>
      </c>
      <c r="BP3" s="210">
        <f t="shared" si="4"/>
        <v>50221</v>
      </c>
      <c r="BQ3" s="209">
        <f t="shared" si="4"/>
        <v>50313</v>
      </c>
      <c r="BR3" s="207">
        <f t="shared" ref="BR3:CB3" si="5">EOMONTH(BQ3,3)</f>
        <v>50405</v>
      </c>
      <c r="BS3" s="207">
        <f t="shared" si="5"/>
        <v>50495</v>
      </c>
      <c r="BT3" s="210">
        <f t="shared" si="5"/>
        <v>50586</v>
      </c>
      <c r="BU3" s="209">
        <f t="shared" si="5"/>
        <v>50678</v>
      </c>
      <c r="BV3" s="207">
        <f t="shared" si="5"/>
        <v>50770</v>
      </c>
      <c r="BW3" s="207">
        <f t="shared" si="5"/>
        <v>50860</v>
      </c>
      <c r="BX3" s="210">
        <f t="shared" si="5"/>
        <v>50951</v>
      </c>
      <c r="BY3" s="209">
        <f t="shared" si="5"/>
        <v>51043</v>
      </c>
      <c r="BZ3" s="207">
        <f t="shared" si="5"/>
        <v>51135</v>
      </c>
      <c r="CA3" s="207">
        <f t="shared" si="5"/>
        <v>51226</v>
      </c>
      <c r="CB3" s="210">
        <f t="shared" si="5"/>
        <v>51317</v>
      </c>
    </row>
    <row r="4" spans="1:80" outlineLevel="1" x14ac:dyDescent="0.2"/>
    <row r="5" spans="1:80" outlineLevel="1" x14ac:dyDescent="0.2">
      <c r="B5" s="211" t="s">
        <v>11</v>
      </c>
      <c r="E5" s="214" t="str">
        <f t="array" ref="E5">_xlfn.IFS(AND(MONTH(E$3)&gt;=1,MONTH(E$3)&lt;=3),"3Q",AND(MONTH(E$3)&gt;=4,MONTH(E$3)&lt;=6),"4Q",AND(MONTH(E$3)&gt;=7,MONTH(E$3)&lt;=9),"1Q",AND(MONTH(E$3)&gt;=10,MONTH(E$3)&lt;=12),"2Q")</f>
        <v>1Q</v>
      </c>
      <c r="F5" s="214" t="str">
        <f t="array" ref="F5">_xlfn.IFS(AND(MONTH(F$3)&gt;=1,MONTH(F$3)&lt;=3),"3Q",AND(MONTH(F$3)&gt;=4,MONTH(F$3)&lt;=6),"4Q",AND(MONTH(F$3)&gt;=7,MONTH(F$3)&lt;=9),"1Q",AND(MONTH(F$3)&gt;=10,MONTH(F$3)&lt;=12),"2Q")</f>
        <v>2Q</v>
      </c>
      <c r="G5" s="214" t="str">
        <f t="array" ref="G5">_xlfn.IFS(AND(MONTH(G$3)&gt;=1,MONTH(G$3)&lt;=3),"3Q",AND(MONTH(G$3)&gt;=4,MONTH(G$3)&lt;=6),"4Q",AND(MONTH(G$3)&gt;=7,MONTH(G$3)&lt;=9),"1Q",AND(MONTH(G$3)&gt;=10,MONTH(G$3)&lt;=12),"2Q")</f>
        <v>3Q</v>
      </c>
      <c r="H5" s="214" t="str">
        <f t="array" ref="H5">_xlfn.IFS(AND(MONTH(H$3)&gt;=1,MONTH(H$3)&lt;=3),"3Q",AND(MONTH(H$3)&gt;=4,MONTH(H$3)&lt;=6),"4Q",AND(MONTH(H$3)&gt;=7,MONTH(H$3)&lt;=9),"1Q",AND(MONTH(H$3)&gt;=10,MONTH(H$3)&lt;=12),"2Q")</f>
        <v>4Q</v>
      </c>
      <c r="I5" s="214" t="str">
        <f t="array" ref="I5">_xlfn.IFS(AND(MONTH(I$3)&gt;=1,MONTH(I$3)&lt;=3),"3Q",AND(MONTH(I$3)&gt;=4,MONTH(I$3)&lt;=6),"4Q",AND(MONTH(I$3)&gt;=7,MONTH(I$3)&lt;=9),"1Q",AND(MONTH(I$3)&gt;=10,MONTH(I$3)&lt;=12),"2Q")</f>
        <v>1Q</v>
      </c>
      <c r="J5" s="214" t="str">
        <f t="array" ref="J5">_xlfn.IFS(AND(MONTH(J$3)&gt;=1,MONTH(J$3)&lt;=3),"3Q",AND(MONTH(J$3)&gt;=4,MONTH(J$3)&lt;=6),"4Q",AND(MONTH(J$3)&gt;=7,MONTH(J$3)&lt;=9),"1Q",AND(MONTH(J$3)&gt;=10,MONTH(J$3)&lt;=12),"2Q")</f>
        <v>2Q</v>
      </c>
      <c r="K5" s="214" t="str">
        <f t="array" ref="K5">_xlfn.IFS(AND(MONTH(K$3)&gt;=1,MONTH(K$3)&lt;=3),"3Q",AND(MONTH(K$3)&gt;=4,MONTH(K$3)&lt;=6),"4Q",AND(MONTH(K$3)&gt;=7,MONTH(K$3)&lt;=9),"1Q",AND(MONTH(K$3)&gt;=10,MONTH(K$3)&lt;=12),"2Q")</f>
        <v>3Q</v>
      </c>
      <c r="L5" s="214" t="str">
        <f t="array" ref="L5">_xlfn.IFS(AND(MONTH(L$3)&gt;=1,MONTH(L$3)&lt;=3),"3Q",AND(MONTH(L$3)&gt;=4,MONTH(L$3)&lt;=6),"4Q",AND(MONTH(L$3)&gt;=7,MONTH(L$3)&lt;=9),"1Q",AND(MONTH(L$3)&gt;=10,MONTH(L$3)&lt;=12),"2Q")</f>
        <v>4Q</v>
      </c>
      <c r="M5" s="214" t="str">
        <f t="array" ref="M5">_xlfn.IFS(AND(MONTH(M$3)&gt;=1,MONTH(M$3)&lt;=3),"3Q",AND(MONTH(M$3)&gt;=4,MONTH(M$3)&lt;=6),"4Q",AND(MONTH(M$3)&gt;=7,MONTH(M$3)&lt;=9),"1Q",AND(MONTH(M$3)&gt;=10,MONTH(M$3)&lt;=12),"2Q")</f>
        <v>1Q</v>
      </c>
      <c r="N5" s="214" t="str">
        <f t="array" ref="N5">_xlfn.IFS(AND(MONTH(N$3)&gt;=1,MONTH(N$3)&lt;=3),"3Q",AND(MONTH(N$3)&gt;=4,MONTH(N$3)&lt;=6),"4Q",AND(MONTH(N$3)&gt;=7,MONTH(N$3)&lt;=9),"1Q",AND(MONTH(N$3)&gt;=10,MONTH(N$3)&lt;=12),"2Q")</f>
        <v>2Q</v>
      </c>
      <c r="O5" s="214" t="str">
        <f t="array" ref="O5">_xlfn.IFS(AND(MONTH(O$3)&gt;=1,MONTH(O$3)&lt;=3),"3Q",AND(MONTH(O$3)&gt;=4,MONTH(O$3)&lt;=6),"4Q",AND(MONTH(O$3)&gt;=7,MONTH(O$3)&lt;=9),"1Q",AND(MONTH(O$3)&gt;=10,MONTH(O$3)&lt;=12),"2Q")</f>
        <v>3Q</v>
      </c>
      <c r="P5" s="214" t="str">
        <f t="array" ref="P5">_xlfn.IFS(AND(MONTH(P$3)&gt;=1,MONTH(P$3)&lt;=3),"3Q",AND(MONTH(P$3)&gt;=4,MONTH(P$3)&lt;=6),"4Q",AND(MONTH(P$3)&gt;=7,MONTH(P$3)&lt;=9),"1Q",AND(MONTH(P$3)&gt;=10,MONTH(P$3)&lt;=12),"2Q")</f>
        <v>4Q</v>
      </c>
      <c r="Q5" s="214" t="str">
        <f t="array" ref="Q5">_xlfn.IFS(AND(MONTH(Q$3)&gt;=1,MONTH(Q$3)&lt;=3),"3Q",AND(MONTH(Q$3)&gt;=4,MONTH(Q$3)&lt;=6),"4Q",AND(MONTH(Q$3)&gt;=7,MONTH(Q$3)&lt;=9),"1Q",AND(MONTH(Q$3)&gt;=10,MONTH(Q$3)&lt;=12),"2Q")</f>
        <v>1Q</v>
      </c>
      <c r="R5" s="214" t="str">
        <f t="array" ref="R5">_xlfn.IFS(AND(MONTH(R$3)&gt;=1,MONTH(R$3)&lt;=3),"3Q",AND(MONTH(R$3)&gt;=4,MONTH(R$3)&lt;=6),"4Q",AND(MONTH(R$3)&gt;=7,MONTH(R$3)&lt;=9),"1Q",AND(MONTH(R$3)&gt;=10,MONTH(R$3)&lt;=12),"2Q")</f>
        <v>2Q</v>
      </c>
      <c r="S5" s="214" t="str">
        <f t="array" ref="S5">_xlfn.IFS(AND(MONTH(S$3)&gt;=1,MONTH(S$3)&lt;=3),"3Q",AND(MONTH(S$3)&gt;=4,MONTH(S$3)&lt;=6),"4Q",AND(MONTH(S$3)&gt;=7,MONTH(S$3)&lt;=9),"1Q",AND(MONTH(S$3)&gt;=10,MONTH(S$3)&lt;=12),"2Q")</f>
        <v>3Q</v>
      </c>
      <c r="T5" s="214" t="str">
        <f t="array" ref="T5">_xlfn.IFS(AND(MONTH(T$3)&gt;=1,MONTH(T$3)&lt;=3),"3Q",AND(MONTH(T$3)&gt;=4,MONTH(T$3)&lt;=6),"4Q",AND(MONTH(T$3)&gt;=7,MONTH(T$3)&lt;=9),"1Q",AND(MONTH(T$3)&gt;=10,MONTH(T$3)&lt;=12),"2Q")</f>
        <v>4Q</v>
      </c>
      <c r="U5" s="214" t="str">
        <f t="array" ref="U5">_xlfn.IFS(AND(MONTH(U$3)&gt;=1,MONTH(U$3)&lt;=3),"3Q",AND(MONTH(U$3)&gt;=4,MONTH(U$3)&lt;=6),"4Q",AND(MONTH(U$3)&gt;=7,MONTH(U$3)&lt;=9),"1Q",AND(MONTH(U$3)&gt;=10,MONTH(U$3)&lt;=12),"2Q")</f>
        <v>1Q</v>
      </c>
      <c r="V5" s="214" t="str">
        <f t="array" ref="V5">_xlfn.IFS(AND(MONTH(V$3)&gt;=1,MONTH(V$3)&lt;=3),"3Q",AND(MONTH(V$3)&gt;=4,MONTH(V$3)&lt;=6),"4Q",AND(MONTH(V$3)&gt;=7,MONTH(V$3)&lt;=9),"1Q",AND(MONTH(V$3)&gt;=10,MONTH(V$3)&lt;=12),"2Q")</f>
        <v>2Q</v>
      </c>
      <c r="W5" s="214" t="str">
        <f t="array" ref="W5">_xlfn.IFS(AND(MONTH(W$3)&gt;=1,MONTH(W$3)&lt;=3),"3Q",AND(MONTH(W$3)&gt;=4,MONTH(W$3)&lt;=6),"4Q",AND(MONTH(W$3)&gt;=7,MONTH(W$3)&lt;=9),"1Q",AND(MONTH(W$3)&gt;=10,MONTH(W$3)&lt;=12),"2Q")</f>
        <v>3Q</v>
      </c>
      <c r="X5" s="214" t="str">
        <f t="array" ref="X5">_xlfn.IFS(AND(MONTH(X$3)&gt;=1,MONTH(X$3)&lt;=3),"3Q",AND(MONTH(X$3)&gt;=4,MONTH(X$3)&lt;=6),"4Q",AND(MONTH(X$3)&gt;=7,MONTH(X$3)&lt;=9),"1Q",AND(MONTH(X$3)&gt;=10,MONTH(X$3)&lt;=12),"2Q")</f>
        <v>4Q</v>
      </c>
      <c r="Y5" s="214" t="str">
        <f t="array" ref="Y5">_xlfn.IFS(AND(MONTH(Y$3)&gt;=1,MONTH(Y$3)&lt;=3),"3Q",AND(MONTH(Y$3)&gt;=4,MONTH(Y$3)&lt;=6),"4Q",AND(MONTH(Y$3)&gt;=7,MONTH(Y$3)&lt;=9),"1Q",AND(MONTH(Y$3)&gt;=10,MONTH(Y$3)&lt;=12),"2Q")</f>
        <v>1Q</v>
      </c>
      <c r="Z5" s="214" t="str">
        <f t="array" ref="Z5">_xlfn.IFS(AND(MONTH(Z$3)&gt;=1,MONTH(Z$3)&lt;=3),"3Q",AND(MONTH(Z$3)&gt;=4,MONTH(Z$3)&lt;=6),"4Q",AND(MONTH(Z$3)&gt;=7,MONTH(Z$3)&lt;=9),"1Q",AND(MONTH(Z$3)&gt;=10,MONTH(Z$3)&lt;=12),"2Q")</f>
        <v>2Q</v>
      </c>
      <c r="AA5" s="214" t="str">
        <f t="array" ref="AA5">_xlfn.IFS(AND(MONTH(AA$3)&gt;=1,MONTH(AA$3)&lt;=3),"3Q",AND(MONTH(AA$3)&gt;=4,MONTH(AA$3)&lt;=6),"4Q",AND(MONTH(AA$3)&gt;=7,MONTH(AA$3)&lt;=9),"1Q",AND(MONTH(AA$3)&gt;=10,MONTH(AA$3)&lt;=12),"2Q")</f>
        <v>3Q</v>
      </c>
      <c r="AB5" s="214" t="str">
        <f t="array" ref="AB5">_xlfn.IFS(AND(MONTH(AB$3)&gt;=1,MONTH(AB$3)&lt;=3),"3Q",AND(MONTH(AB$3)&gt;=4,MONTH(AB$3)&lt;=6),"4Q",AND(MONTH(AB$3)&gt;=7,MONTH(AB$3)&lt;=9),"1Q",AND(MONTH(AB$3)&gt;=10,MONTH(AB$3)&lt;=12),"2Q")</f>
        <v>4Q</v>
      </c>
      <c r="AC5" s="214" t="str">
        <f t="array" ref="AC5">_xlfn.IFS(AND(MONTH(AC$3)&gt;=1,MONTH(AC$3)&lt;=3),"3Q",AND(MONTH(AC$3)&gt;=4,MONTH(AC$3)&lt;=6),"4Q",AND(MONTH(AC$3)&gt;=7,MONTH(AC$3)&lt;=9),"1Q",AND(MONTH(AC$3)&gt;=10,MONTH(AC$3)&lt;=12),"2Q")</f>
        <v>1Q</v>
      </c>
      <c r="AD5" s="214" t="str">
        <f t="array" ref="AD5">_xlfn.IFS(AND(MONTH(AD$3)&gt;=1,MONTH(AD$3)&lt;=3),"3Q",AND(MONTH(AD$3)&gt;=4,MONTH(AD$3)&lt;=6),"4Q",AND(MONTH(AD$3)&gt;=7,MONTH(AD$3)&lt;=9),"1Q",AND(MONTH(AD$3)&gt;=10,MONTH(AD$3)&lt;=12),"2Q")</f>
        <v>2Q</v>
      </c>
      <c r="AE5" s="214" t="str">
        <f t="array" ref="AE5">_xlfn.IFS(AND(MONTH(AE$3)&gt;=1,MONTH(AE$3)&lt;=3),"3Q",AND(MONTH(AE$3)&gt;=4,MONTH(AE$3)&lt;=6),"4Q",AND(MONTH(AE$3)&gt;=7,MONTH(AE$3)&lt;=9),"1Q",AND(MONTH(AE$3)&gt;=10,MONTH(AE$3)&lt;=12),"2Q")</f>
        <v>3Q</v>
      </c>
      <c r="AF5" s="214" t="str">
        <f t="array" ref="AF5">_xlfn.IFS(AND(MONTH(AF$3)&gt;=1,MONTH(AF$3)&lt;=3),"3Q",AND(MONTH(AF$3)&gt;=4,MONTH(AF$3)&lt;=6),"4Q",AND(MONTH(AF$3)&gt;=7,MONTH(AF$3)&lt;=9),"1Q",AND(MONTH(AF$3)&gt;=10,MONTH(AF$3)&lt;=12),"2Q")</f>
        <v>4Q</v>
      </c>
      <c r="AG5" s="214" t="str">
        <f t="array" ref="AG5">_xlfn.IFS(AND(MONTH(AG$3)&gt;=1,MONTH(AG$3)&lt;=3),"3Q",AND(MONTH(AG$3)&gt;=4,MONTH(AG$3)&lt;=6),"4Q",AND(MONTH(AG$3)&gt;=7,MONTH(AG$3)&lt;=9),"1Q",AND(MONTH(AG$3)&gt;=10,MONTH(AG$3)&lt;=12),"2Q")</f>
        <v>1Q</v>
      </c>
      <c r="AH5" s="214" t="str">
        <f t="array" ref="AH5">_xlfn.IFS(AND(MONTH(AH$3)&gt;=1,MONTH(AH$3)&lt;=3),"3Q",AND(MONTH(AH$3)&gt;=4,MONTH(AH$3)&lt;=6),"4Q",AND(MONTH(AH$3)&gt;=7,MONTH(AH$3)&lt;=9),"1Q",AND(MONTH(AH$3)&gt;=10,MONTH(AH$3)&lt;=12),"2Q")</f>
        <v>2Q</v>
      </c>
      <c r="AI5" s="214" t="str">
        <f t="array" ref="AI5">_xlfn.IFS(AND(MONTH(AI$3)&gt;=1,MONTH(AI$3)&lt;=3),"3Q",AND(MONTH(AI$3)&gt;=4,MONTH(AI$3)&lt;=6),"4Q",AND(MONTH(AI$3)&gt;=7,MONTH(AI$3)&lt;=9),"1Q",AND(MONTH(AI$3)&gt;=10,MONTH(AI$3)&lt;=12),"2Q")</f>
        <v>3Q</v>
      </c>
      <c r="AJ5" s="214" t="str">
        <f t="array" ref="AJ5">_xlfn.IFS(AND(MONTH(AJ$3)&gt;=1,MONTH(AJ$3)&lt;=3),"3Q",AND(MONTH(AJ$3)&gt;=4,MONTH(AJ$3)&lt;=6),"4Q",AND(MONTH(AJ$3)&gt;=7,MONTH(AJ$3)&lt;=9),"1Q",AND(MONTH(AJ$3)&gt;=10,MONTH(AJ$3)&lt;=12),"2Q")</f>
        <v>4Q</v>
      </c>
      <c r="AK5" s="214" t="str">
        <f t="array" ref="AK5">_xlfn.IFS(AND(MONTH(AK$3)&gt;=1,MONTH(AK$3)&lt;=3),"3Q",AND(MONTH(AK$3)&gt;=4,MONTH(AK$3)&lt;=6),"4Q",AND(MONTH(AK$3)&gt;=7,MONTH(AK$3)&lt;=9),"1Q",AND(MONTH(AK$3)&gt;=10,MONTH(AK$3)&lt;=12),"2Q")</f>
        <v>1Q</v>
      </c>
      <c r="AL5" s="214" t="str">
        <f t="array" ref="AL5">_xlfn.IFS(AND(MONTH(AL$3)&gt;=1,MONTH(AL$3)&lt;=3),"3Q",AND(MONTH(AL$3)&gt;=4,MONTH(AL$3)&lt;=6),"4Q",AND(MONTH(AL$3)&gt;=7,MONTH(AL$3)&lt;=9),"1Q",AND(MONTH(AL$3)&gt;=10,MONTH(AL$3)&lt;=12),"2Q")</f>
        <v>2Q</v>
      </c>
      <c r="AM5" s="214" t="str">
        <f t="array" ref="AM5">_xlfn.IFS(AND(MONTH(AM$3)&gt;=1,MONTH(AM$3)&lt;=3),"3Q",AND(MONTH(AM$3)&gt;=4,MONTH(AM$3)&lt;=6),"4Q",AND(MONTH(AM$3)&gt;=7,MONTH(AM$3)&lt;=9),"1Q",AND(MONTH(AM$3)&gt;=10,MONTH(AM$3)&lt;=12),"2Q")</f>
        <v>3Q</v>
      </c>
      <c r="AN5" s="214" t="str">
        <f t="array" ref="AN5">_xlfn.IFS(AND(MONTH(AN$3)&gt;=1,MONTH(AN$3)&lt;=3),"3Q",AND(MONTH(AN$3)&gt;=4,MONTH(AN$3)&lt;=6),"4Q",AND(MONTH(AN$3)&gt;=7,MONTH(AN$3)&lt;=9),"1Q",AND(MONTH(AN$3)&gt;=10,MONTH(AN$3)&lt;=12),"2Q")</f>
        <v>4Q</v>
      </c>
      <c r="AO5" s="214" t="str">
        <f t="array" ref="AO5">_xlfn.IFS(AND(MONTH(AO$3)&gt;=1,MONTH(AO$3)&lt;=3),"3Q",AND(MONTH(AO$3)&gt;=4,MONTH(AO$3)&lt;=6),"4Q",AND(MONTH(AO$3)&gt;=7,MONTH(AO$3)&lt;=9),"1Q",AND(MONTH(AO$3)&gt;=10,MONTH(AO$3)&lt;=12),"2Q")</f>
        <v>1Q</v>
      </c>
      <c r="AP5" s="214" t="str">
        <f t="array" ref="AP5">_xlfn.IFS(AND(MONTH(AP$3)&gt;=1,MONTH(AP$3)&lt;=3),"3Q",AND(MONTH(AP$3)&gt;=4,MONTH(AP$3)&lt;=6),"4Q",AND(MONTH(AP$3)&gt;=7,MONTH(AP$3)&lt;=9),"1Q",AND(MONTH(AP$3)&gt;=10,MONTH(AP$3)&lt;=12),"2Q")</f>
        <v>2Q</v>
      </c>
      <c r="AQ5" s="214" t="str">
        <f t="array" ref="AQ5">_xlfn.IFS(AND(MONTH(AQ$3)&gt;=1,MONTH(AQ$3)&lt;=3),"3Q",AND(MONTH(AQ$3)&gt;=4,MONTH(AQ$3)&lt;=6),"4Q",AND(MONTH(AQ$3)&gt;=7,MONTH(AQ$3)&lt;=9),"1Q",AND(MONTH(AQ$3)&gt;=10,MONTH(AQ$3)&lt;=12),"2Q")</f>
        <v>3Q</v>
      </c>
      <c r="AR5" s="214" t="str">
        <f t="array" ref="AR5">_xlfn.IFS(AND(MONTH(AR$3)&gt;=1,MONTH(AR$3)&lt;=3),"3Q",AND(MONTH(AR$3)&gt;=4,MONTH(AR$3)&lt;=6),"4Q",AND(MONTH(AR$3)&gt;=7,MONTH(AR$3)&lt;=9),"1Q",AND(MONTH(AR$3)&gt;=10,MONTH(AR$3)&lt;=12),"2Q")</f>
        <v>4Q</v>
      </c>
      <c r="AS5" s="214" t="str">
        <f t="array" ref="AS5">_xlfn.IFS(AND(MONTH(AS$3)&gt;=1,MONTH(AS$3)&lt;=3),"3Q",AND(MONTH(AS$3)&gt;=4,MONTH(AS$3)&lt;=6),"4Q",AND(MONTH(AS$3)&gt;=7,MONTH(AS$3)&lt;=9),"1Q",AND(MONTH(AS$3)&gt;=10,MONTH(AS$3)&lt;=12),"2Q")</f>
        <v>1Q</v>
      </c>
      <c r="AT5" s="214" t="str">
        <f t="array" ref="AT5">_xlfn.IFS(AND(MONTH(AT$3)&gt;=1,MONTH(AT$3)&lt;=3),"3Q",AND(MONTH(AT$3)&gt;=4,MONTH(AT$3)&lt;=6),"4Q",AND(MONTH(AT$3)&gt;=7,MONTH(AT$3)&lt;=9),"1Q",AND(MONTH(AT$3)&gt;=10,MONTH(AT$3)&lt;=12),"2Q")</f>
        <v>2Q</v>
      </c>
      <c r="AU5" s="214" t="str">
        <f t="array" ref="AU5">_xlfn.IFS(AND(MONTH(AU$3)&gt;=1,MONTH(AU$3)&lt;=3),"3Q",AND(MONTH(AU$3)&gt;=4,MONTH(AU$3)&lt;=6),"4Q",AND(MONTH(AU$3)&gt;=7,MONTH(AU$3)&lt;=9),"1Q",AND(MONTH(AU$3)&gt;=10,MONTH(AU$3)&lt;=12),"2Q")</f>
        <v>3Q</v>
      </c>
      <c r="AV5" s="214" t="str">
        <f t="array" ref="AV5">_xlfn.IFS(AND(MONTH(AV$3)&gt;=1,MONTH(AV$3)&lt;=3),"3Q",AND(MONTH(AV$3)&gt;=4,MONTH(AV$3)&lt;=6),"4Q",AND(MONTH(AV$3)&gt;=7,MONTH(AV$3)&lt;=9),"1Q",AND(MONTH(AV$3)&gt;=10,MONTH(AV$3)&lt;=12),"2Q")</f>
        <v>4Q</v>
      </c>
      <c r="AW5" s="214" t="str">
        <f t="array" ref="AW5">_xlfn.IFS(AND(MONTH(AW$3)&gt;=1,MONTH(AW$3)&lt;=3),"3Q",AND(MONTH(AW$3)&gt;=4,MONTH(AW$3)&lt;=6),"4Q",AND(MONTH(AW$3)&gt;=7,MONTH(AW$3)&lt;=9),"1Q",AND(MONTH(AW$3)&gt;=10,MONTH(AW$3)&lt;=12),"2Q")</f>
        <v>1Q</v>
      </c>
      <c r="AX5" s="214" t="str">
        <f t="array" ref="AX5">_xlfn.IFS(AND(MONTH(AX$3)&gt;=1,MONTH(AX$3)&lt;=3),"3Q",AND(MONTH(AX$3)&gt;=4,MONTH(AX$3)&lt;=6),"4Q",AND(MONTH(AX$3)&gt;=7,MONTH(AX$3)&lt;=9),"1Q",AND(MONTH(AX$3)&gt;=10,MONTH(AX$3)&lt;=12),"2Q")</f>
        <v>2Q</v>
      </c>
      <c r="AY5" s="214" t="str">
        <f t="array" ref="AY5">_xlfn.IFS(AND(MONTH(AY$3)&gt;=1,MONTH(AY$3)&lt;=3),"3Q",AND(MONTH(AY$3)&gt;=4,MONTH(AY$3)&lt;=6),"4Q",AND(MONTH(AY$3)&gt;=7,MONTH(AY$3)&lt;=9),"1Q",AND(MONTH(AY$3)&gt;=10,MONTH(AY$3)&lt;=12),"2Q")</f>
        <v>3Q</v>
      </c>
      <c r="AZ5" s="214" t="str">
        <f t="array" ref="AZ5">_xlfn.IFS(AND(MONTH(AZ$3)&gt;=1,MONTH(AZ$3)&lt;=3),"3Q",AND(MONTH(AZ$3)&gt;=4,MONTH(AZ$3)&lt;=6),"4Q",AND(MONTH(AZ$3)&gt;=7,MONTH(AZ$3)&lt;=9),"1Q",AND(MONTH(AZ$3)&gt;=10,MONTH(AZ$3)&lt;=12),"2Q")</f>
        <v>4Q</v>
      </c>
      <c r="BA5" s="214" t="str">
        <f t="array" ref="BA5">_xlfn.IFS(AND(MONTH(BA$3)&gt;=1,MONTH(BA$3)&lt;=3),"3Q",AND(MONTH(BA$3)&gt;=4,MONTH(BA$3)&lt;=6),"4Q",AND(MONTH(BA$3)&gt;=7,MONTH(BA$3)&lt;=9),"1Q",AND(MONTH(BA$3)&gt;=10,MONTH(BA$3)&lt;=12),"2Q")</f>
        <v>1Q</v>
      </c>
      <c r="BB5" s="214" t="str">
        <f t="array" ref="BB5">_xlfn.IFS(AND(MONTH(BB$3)&gt;=1,MONTH(BB$3)&lt;=3),"3Q",AND(MONTH(BB$3)&gt;=4,MONTH(BB$3)&lt;=6),"4Q",AND(MONTH(BB$3)&gt;=7,MONTH(BB$3)&lt;=9),"1Q",AND(MONTH(BB$3)&gt;=10,MONTH(BB$3)&lt;=12),"2Q")</f>
        <v>2Q</v>
      </c>
      <c r="BC5" s="214" t="str">
        <f t="array" ref="BC5">_xlfn.IFS(AND(MONTH(BC$3)&gt;=1,MONTH(BC$3)&lt;=3),"3Q",AND(MONTH(BC$3)&gt;=4,MONTH(BC$3)&lt;=6),"4Q",AND(MONTH(BC$3)&gt;=7,MONTH(BC$3)&lt;=9),"1Q",AND(MONTH(BC$3)&gt;=10,MONTH(BC$3)&lt;=12),"2Q")</f>
        <v>3Q</v>
      </c>
      <c r="BD5" s="214" t="str">
        <f t="array" ref="BD5">_xlfn.IFS(AND(MONTH(BD$3)&gt;=1,MONTH(BD$3)&lt;=3),"3Q",AND(MONTH(BD$3)&gt;=4,MONTH(BD$3)&lt;=6),"4Q",AND(MONTH(BD$3)&gt;=7,MONTH(BD$3)&lt;=9),"1Q",AND(MONTH(BD$3)&gt;=10,MONTH(BD$3)&lt;=12),"2Q")</f>
        <v>4Q</v>
      </c>
      <c r="BE5" s="214" t="str">
        <f t="array" ref="BE5">_xlfn.IFS(AND(MONTH(BE$3)&gt;=1,MONTH(BE$3)&lt;=3),"3Q",AND(MONTH(BE$3)&gt;=4,MONTH(BE$3)&lt;=6),"4Q",AND(MONTH(BE$3)&gt;=7,MONTH(BE$3)&lt;=9),"1Q",AND(MONTH(BE$3)&gt;=10,MONTH(BE$3)&lt;=12),"2Q")</f>
        <v>1Q</v>
      </c>
      <c r="BF5" s="214" t="str">
        <f t="array" ref="BF5">_xlfn.IFS(AND(MONTH(BF$3)&gt;=1,MONTH(BF$3)&lt;=3),"3Q",AND(MONTH(BF$3)&gt;=4,MONTH(BF$3)&lt;=6),"4Q",AND(MONTH(BF$3)&gt;=7,MONTH(BF$3)&lt;=9),"1Q",AND(MONTH(BF$3)&gt;=10,MONTH(BF$3)&lt;=12),"2Q")</f>
        <v>2Q</v>
      </c>
      <c r="BG5" s="214" t="str">
        <f t="array" ref="BG5">_xlfn.IFS(AND(MONTH(BG$3)&gt;=1,MONTH(BG$3)&lt;=3),"3Q",AND(MONTH(BG$3)&gt;=4,MONTH(BG$3)&lt;=6),"4Q",AND(MONTH(BG$3)&gt;=7,MONTH(BG$3)&lt;=9),"1Q",AND(MONTH(BG$3)&gt;=10,MONTH(BG$3)&lt;=12),"2Q")</f>
        <v>3Q</v>
      </c>
      <c r="BH5" s="214" t="str">
        <f t="array" ref="BH5">_xlfn.IFS(AND(MONTH(BH$3)&gt;=1,MONTH(BH$3)&lt;=3),"3Q",AND(MONTH(BH$3)&gt;=4,MONTH(BH$3)&lt;=6),"4Q",AND(MONTH(BH$3)&gt;=7,MONTH(BH$3)&lt;=9),"1Q",AND(MONTH(BH$3)&gt;=10,MONTH(BH$3)&lt;=12),"2Q")</f>
        <v>4Q</v>
      </c>
      <c r="BI5" s="214" t="str">
        <f t="array" ref="BI5">_xlfn.IFS(AND(MONTH(BI$3)&gt;=1,MONTH(BI$3)&lt;=3),"3Q",AND(MONTH(BI$3)&gt;=4,MONTH(BI$3)&lt;=6),"4Q",AND(MONTH(BI$3)&gt;=7,MONTH(BI$3)&lt;=9),"1Q",AND(MONTH(BI$3)&gt;=10,MONTH(BI$3)&lt;=12),"2Q")</f>
        <v>1Q</v>
      </c>
      <c r="BJ5" s="214" t="str">
        <f t="array" ref="BJ5">_xlfn.IFS(AND(MONTH(BJ$3)&gt;=1,MONTH(BJ$3)&lt;=3),"3Q",AND(MONTH(BJ$3)&gt;=4,MONTH(BJ$3)&lt;=6),"4Q",AND(MONTH(BJ$3)&gt;=7,MONTH(BJ$3)&lt;=9),"1Q",AND(MONTH(BJ$3)&gt;=10,MONTH(BJ$3)&lt;=12),"2Q")</f>
        <v>2Q</v>
      </c>
      <c r="BK5" s="214" t="str">
        <f t="array" ref="BK5">_xlfn.IFS(AND(MONTH(BK$3)&gt;=1,MONTH(BK$3)&lt;=3),"3Q",AND(MONTH(BK$3)&gt;=4,MONTH(BK$3)&lt;=6),"4Q",AND(MONTH(BK$3)&gt;=7,MONTH(BK$3)&lt;=9),"1Q",AND(MONTH(BK$3)&gt;=10,MONTH(BK$3)&lt;=12),"2Q")</f>
        <v>3Q</v>
      </c>
      <c r="BL5" s="214" t="str">
        <f t="array" ref="BL5">_xlfn.IFS(AND(MONTH(BL$3)&gt;=1,MONTH(BL$3)&lt;=3),"3Q",AND(MONTH(BL$3)&gt;=4,MONTH(BL$3)&lt;=6),"4Q",AND(MONTH(BL$3)&gt;=7,MONTH(BL$3)&lt;=9),"1Q",AND(MONTH(BL$3)&gt;=10,MONTH(BL$3)&lt;=12),"2Q")</f>
        <v>4Q</v>
      </c>
      <c r="BM5" s="214" t="str">
        <f t="array" ref="BM5">_xlfn.IFS(AND(MONTH(BM$3)&gt;=1,MONTH(BM$3)&lt;=3),"3Q",AND(MONTH(BM$3)&gt;=4,MONTH(BM$3)&lt;=6),"4Q",AND(MONTH(BM$3)&gt;=7,MONTH(BM$3)&lt;=9),"1Q",AND(MONTH(BM$3)&gt;=10,MONTH(BM$3)&lt;=12),"2Q")</f>
        <v>1Q</v>
      </c>
      <c r="BN5" s="214" t="str">
        <f t="array" ref="BN5">_xlfn.IFS(AND(MONTH(BN$3)&gt;=1,MONTH(BN$3)&lt;=3),"3Q",AND(MONTH(BN$3)&gt;=4,MONTH(BN$3)&lt;=6),"4Q",AND(MONTH(BN$3)&gt;=7,MONTH(BN$3)&lt;=9),"1Q",AND(MONTH(BN$3)&gt;=10,MONTH(BN$3)&lt;=12),"2Q")</f>
        <v>2Q</v>
      </c>
      <c r="BO5" s="214" t="str">
        <f t="array" ref="BO5">_xlfn.IFS(AND(MONTH(BO$3)&gt;=1,MONTH(BO$3)&lt;=3),"3Q",AND(MONTH(BO$3)&gt;=4,MONTH(BO$3)&lt;=6),"4Q",AND(MONTH(BO$3)&gt;=7,MONTH(BO$3)&lt;=9),"1Q",AND(MONTH(BO$3)&gt;=10,MONTH(BO$3)&lt;=12),"2Q")</f>
        <v>3Q</v>
      </c>
      <c r="BP5" s="214" t="str">
        <f t="array" ref="BP5">_xlfn.IFS(AND(MONTH(BP$3)&gt;=1,MONTH(BP$3)&lt;=3),"3Q",AND(MONTH(BP$3)&gt;=4,MONTH(BP$3)&lt;=6),"4Q",AND(MONTH(BP$3)&gt;=7,MONTH(BP$3)&lt;=9),"1Q",AND(MONTH(BP$3)&gt;=10,MONTH(BP$3)&lt;=12),"2Q")</f>
        <v>4Q</v>
      </c>
      <c r="BQ5" s="214" t="str">
        <f t="array" ref="BQ5">_xlfn.IFS(AND(MONTH(BQ$3)&gt;=1,MONTH(BQ$3)&lt;=3),"3Q",AND(MONTH(BQ$3)&gt;=4,MONTH(BQ$3)&lt;=6),"4Q",AND(MONTH(BQ$3)&gt;=7,MONTH(BQ$3)&lt;=9),"1Q",AND(MONTH(BQ$3)&gt;=10,MONTH(BQ$3)&lt;=12),"2Q")</f>
        <v>1Q</v>
      </c>
      <c r="BR5" s="214" t="str">
        <f t="array" ref="BR5">_xlfn.IFS(AND(MONTH(BR$3)&gt;=1,MONTH(BR$3)&lt;=3),"3Q",AND(MONTH(BR$3)&gt;=4,MONTH(BR$3)&lt;=6),"4Q",AND(MONTH(BR$3)&gt;=7,MONTH(BR$3)&lt;=9),"1Q",AND(MONTH(BR$3)&gt;=10,MONTH(BR$3)&lt;=12),"2Q")</f>
        <v>2Q</v>
      </c>
      <c r="BS5" s="214" t="str">
        <f t="array" ref="BS5">_xlfn.IFS(AND(MONTH(BS$3)&gt;=1,MONTH(BS$3)&lt;=3),"3Q",AND(MONTH(BS$3)&gt;=4,MONTH(BS$3)&lt;=6),"4Q",AND(MONTH(BS$3)&gt;=7,MONTH(BS$3)&lt;=9),"1Q",AND(MONTH(BS$3)&gt;=10,MONTH(BS$3)&lt;=12),"2Q")</f>
        <v>3Q</v>
      </c>
      <c r="BT5" s="214" t="str">
        <f t="array" ref="BT5">_xlfn.IFS(AND(MONTH(BT$3)&gt;=1,MONTH(BT$3)&lt;=3),"3Q",AND(MONTH(BT$3)&gt;=4,MONTH(BT$3)&lt;=6),"4Q",AND(MONTH(BT$3)&gt;=7,MONTH(BT$3)&lt;=9),"1Q",AND(MONTH(BT$3)&gt;=10,MONTH(BT$3)&lt;=12),"2Q")</f>
        <v>4Q</v>
      </c>
      <c r="BU5" s="214" t="str">
        <f t="array" ref="BU5">_xlfn.IFS(AND(MONTH(BU$3)&gt;=1,MONTH(BU$3)&lt;=3),"3Q",AND(MONTH(BU$3)&gt;=4,MONTH(BU$3)&lt;=6),"4Q",AND(MONTH(BU$3)&gt;=7,MONTH(BU$3)&lt;=9),"1Q",AND(MONTH(BU$3)&gt;=10,MONTH(BU$3)&lt;=12),"2Q")</f>
        <v>1Q</v>
      </c>
      <c r="BV5" s="214" t="str">
        <f t="array" ref="BV5">_xlfn.IFS(AND(MONTH(BV$3)&gt;=1,MONTH(BV$3)&lt;=3),"3Q",AND(MONTH(BV$3)&gt;=4,MONTH(BV$3)&lt;=6),"4Q",AND(MONTH(BV$3)&gt;=7,MONTH(BV$3)&lt;=9),"1Q",AND(MONTH(BV$3)&gt;=10,MONTH(BV$3)&lt;=12),"2Q")</f>
        <v>2Q</v>
      </c>
      <c r="BW5" s="214" t="str">
        <f t="array" ref="BW5">_xlfn.IFS(AND(MONTH(BW$3)&gt;=1,MONTH(BW$3)&lt;=3),"3Q",AND(MONTH(BW$3)&gt;=4,MONTH(BW$3)&lt;=6),"4Q",AND(MONTH(BW$3)&gt;=7,MONTH(BW$3)&lt;=9),"1Q",AND(MONTH(BW$3)&gt;=10,MONTH(BW$3)&lt;=12),"2Q")</f>
        <v>3Q</v>
      </c>
      <c r="BX5" s="214" t="str">
        <f t="array" ref="BX5">_xlfn.IFS(AND(MONTH(BX$3)&gt;=1,MONTH(BX$3)&lt;=3),"3Q",AND(MONTH(BX$3)&gt;=4,MONTH(BX$3)&lt;=6),"4Q",AND(MONTH(BX$3)&gt;=7,MONTH(BX$3)&lt;=9),"1Q",AND(MONTH(BX$3)&gt;=10,MONTH(BX$3)&lt;=12),"2Q")</f>
        <v>4Q</v>
      </c>
      <c r="BY5" s="214" t="str">
        <f t="array" ref="BY5">_xlfn.IFS(AND(MONTH(BY$3)&gt;=1,MONTH(BY$3)&lt;=3),"3Q",AND(MONTH(BY$3)&gt;=4,MONTH(BY$3)&lt;=6),"4Q",AND(MONTH(BY$3)&gt;=7,MONTH(BY$3)&lt;=9),"1Q",AND(MONTH(BY$3)&gt;=10,MONTH(BY$3)&lt;=12),"2Q")</f>
        <v>1Q</v>
      </c>
      <c r="BZ5" s="214" t="str">
        <f t="array" ref="BZ5">_xlfn.IFS(AND(MONTH(BZ$3)&gt;=1,MONTH(BZ$3)&lt;=3),"3Q",AND(MONTH(BZ$3)&gt;=4,MONTH(BZ$3)&lt;=6),"4Q",AND(MONTH(BZ$3)&gt;=7,MONTH(BZ$3)&lt;=9),"1Q",AND(MONTH(BZ$3)&gt;=10,MONTH(BZ$3)&lt;=12),"2Q")</f>
        <v>2Q</v>
      </c>
      <c r="CA5" s="214" t="str">
        <f t="array" ref="CA5">_xlfn.IFS(AND(MONTH(CA$3)&gt;=1,MONTH(CA$3)&lt;=3),"3Q",AND(MONTH(CA$3)&gt;=4,MONTH(CA$3)&lt;=6),"4Q",AND(MONTH(CA$3)&gt;=7,MONTH(CA$3)&lt;=9),"1Q",AND(MONTH(CA$3)&gt;=10,MONTH(CA$3)&lt;=12),"2Q")</f>
        <v>3Q</v>
      </c>
      <c r="CB5" s="214" t="str">
        <f t="array" ref="CB5">_xlfn.IFS(AND(MONTH(CB$3)&gt;=1,MONTH(CB$3)&lt;=3),"3Q",AND(MONTH(CB$3)&gt;=4,MONTH(CB$3)&lt;=6),"4Q",AND(MONTH(CB$3)&gt;=7,MONTH(CB$3)&lt;=9),"1Q",AND(MONTH(CB$3)&gt;=10,MONTH(CB$3)&lt;=12),"2Q")</f>
        <v>4Q</v>
      </c>
    </row>
    <row r="6" spans="1:80" s="205" customFormat="1" outlineLevel="1" x14ac:dyDescent="0.2">
      <c r="A6" s="206"/>
      <c r="B6" s="211" t="s">
        <v>12</v>
      </c>
      <c r="C6" s="212"/>
      <c r="D6" s="213"/>
      <c r="E6" s="214" t="str">
        <f t="array" ref="E6">_xlfn.IFS(AND(MONTH(E$3)&gt;=1,MONTH(E$3)&lt;=6),"2H",AND(MONTH(E$3)&gt;=7,MONTH(E$3)&lt;=12),"1H")</f>
        <v>1H</v>
      </c>
      <c r="F6" s="214" t="str">
        <f t="array" ref="F6">_xlfn.IFS(AND(MONTH(F$3)&gt;=1,MONTH(F$3)&lt;=6),"2H",AND(MONTH(F$3)&gt;=7,MONTH(F$3)&lt;=12),"1H")</f>
        <v>1H</v>
      </c>
      <c r="G6" s="214" t="str">
        <f t="array" ref="G6">_xlfn.IFS(AND(MONTH(G$3)&gt;=1,MONTH(G$3)&lt;=6),"2H",AND(MONTH(G$3)&gt;=7,MONTH(G$3)&lt;=12),"1H")</f>
        <v>2H</v>
      </c>
      <c r="H6" s="214" t="str">
        <f t="array" ref="H6">_xlfn.IFS(AND(MONTH(H$3)&gt;=1,MONTH(H$3)&lt;=6),"2H",AND(MONTH(H$3)&gt;=7,MONTH(H$3)&lt;=12),"1H")</f>
        <v>2H</v>
      </c>
      <c r="I6" s="214" t="str">
        <f t="array" ref="I6">_xlfn.IFS(AND(MONTH(I$3)&gt;=1,MONTH(I$3)&lt;=6),"2H",AND(MONTH(I$3)&gt;=7,MONTH(I$3)&lt;=12),"1H")</f>
        <v>1H</v>
      </c>
      <c r="J6" s="214" t="str">
        <f t="array" ref="J6">_xlfn.IFS(AND(MONTH(J$3)&gt;=1,MONTH(J$3)&lt;=6),"2H",AND(MONTH(J$3)&gt;=7,MONTH(J$3)&lt;=12),"1H")</f>
        <v>1H</v>
      </c>
      <c r="K6" s="214" t="str">
        <f t="array" ref="K6">_xlfn.IFS(AND(MONTH(K$3)&gt;=1,MONTH(K$3)&lt;=6),"2H",AND(MONTH(K$3)&gt;=7,MONTH(K$3)&lt;=12),"1H")</f>
        <v>2H</v>
      </c>
      <c r="L6" s="214" t="str">
        <f t="array" ref="L6">_xlfn.IFS(AND(MONTH(L$3)&gt;=1,MONTH(L$3)&lt;=6),"2H",AND(MONTH(L$3)&gt;=7,MONTH(L$3)&lt;=12),"1H")</f>
        <v>2H</v>
      </c>
      <c r="M6" s="214" t="str">
        <f t="array" ref="M6">_xlfn.IFS(AND(MONTH(M$3)&gt;=1,MONTH(M$3)&lt;=6),"2H",AND(MONTH(M$3)&gt;=7,MONTH(M$3)&lt;=12),"1H")</f>
        <v>1H</v>
      </c>
      <c r="N6" s="214" t="str">
        <f t="array" ref="N6">_xlfn.IFS(AND(MONTH(N$3)&gt;=1,MONTH(N$3)&lt;=6),"2H",AND(MONTH(N$3)&gt;=7,MONTH(N$3)&lt;=12),"1H")</f>
        <v>1H</v>
      </c>
      <c r="O6" s="214" t="str">
        <f t="array" ref="O6">_xlfn.IFS(AND(MONTH(O$3)&gt;=1,MONTH(O$3)&lt;=6),"2H",AND(MONTH(O$3)&gt;=7,MONTH(O$3)&lt;=12),"1H")</f>
        <v>2H</v>
      </c>
      <c r="P6" s="214" t="str">
        <f t="array" ref="P6">_xlfn.IFS(AND(MONTH(P$3)&gt;=1,MONTH(P$3)&lt;=6),"2H",AND(MONTH(P$3)&gt;=7,MONTH(P$3)&lt;=12),"1H")</f>
        <v>2H</v>
      </c>
      <c r="Q6" s="214" t="str">
        <f t="array" ref="Q6">_xlfn.IFS(AND(MONTH(Q$3)&gt;=1,MONTH(Q$3)&lt;=6),"2H",AND(MONTH(Q$3)&gt;=7,MONTH(Q$3)&lt;=12),"1H")</f>
        <v>1H</v>
      </c>
      <c r="R6" s="214" t="str">
        <f t="array" ref="R6">_xlfn.IFS(AND(MONTH(R$3)&gt;=1,MONTH(R$3)&lt;=6),"2H",AND(MONTH(R$3)&gt;=7,MONTH(R$3)&lt;=12),"1H")</f>
        <v>1H</v>
      </c>
      <c r="S6" s="214" t="str">
        <f t="array" ref="S6">_xlfn.IFS(AND(MONTH(S$3)&gt;=1,MONTH(S$3)&lt;=6),"2H",AND(MONTH(S$3)&gt;=7,MONTH(S$3)&lt;=12),"1H")</f>
        <v>2H</v>
      </c>
      <c r="T6" s="214" t="str">
        <f t="array" ref="T6">_xlfn.IFS(AND(MONTH(T$3)&gt;=1,MONTH(T$3)&lt;=6),"2H",AND(MONTH(T$3)&gt;=7,MONTH(T$3)&lt;=12),"1H")</f>
        <v>2H</v>
      </c>
      <c r="U6" s="214" t="str">
        <f t="array" ref="U6">_xlfn.IFS(AND(MONTH(U$3)&gt;=1,MONTH(U$3)&lt;=6),"2H",AND(MONTH(U$3)&gt;=7,MONTH(U$3)&lt;=12),"1H")</f>
        <v>1H</v>
      </c>
      <c r="V6" s="214" t="str">
        <f t="array" ref="V6">_xlfn.IFS(AND(MONTH(V$3)&gt;=1,MONTH(V$3)&lt;=6),"2H",AND(MONTH(V$3)&gt;=7,MONTH(V$3)&lt;=12),"1H")</f>
        <v>1H</v>
      </c>
      <c r="W6" s="214" t="str">
        <f t="array" ref="W6">_xlfn.IFS(AND(MONTH(W$3)&gt;=1,MONTH(W$3)&lt;=6),"2H",AND(MONTH(W$3)&gt;=7,MONTH(W$3)&lt;=12),"1H")</f>
        <v>2H</v>
      </c>
      <c r="X6" s="214" t="str">
        <f t="array" ref="X6">_xlfn.IFS(AND(MONTH(X$3)&gt;=1,MONTH(X$3)&lt;=6),"2H",AND(MONTH(X$3)&gt;=7,MONTH(X$3)&lt;=12),"1H")</f>
        <v>2H</v>
      </c>
      <c r="Y6" s="214" t="str">
        <f t="array" ref="Y6">_xlfn.IFS(AND(MONTH(Y$3)&gt;=1,MONTH(Y$3)&lt;=6),"2H",AND(MONTH(Y$3)&gt;=7,MONTH(Y$3)&lt;=12),"1H")</f>
        <v>1H</v>
      </c>
      <c r="Z6" s="214" t="str">
        <f t="array" ref="Z6">_xlfn.IFS(AND(MONTH(Z$3)&gt;=1,MONTH(Z$3)&lt;=6),"2H",AND(MONTH(Z$3)&gt;=7,MONTH(Z$3)&lt;=12),"1H")</f>
        <v>1H</v>
      </c>
      <c r="AA6" s="214" t="str">
        <f t="array" ref="AA6">_xlfn.IFS(AND(MONTH(AA$3)&gt;=1,MONTH(AA$3)&lt;=6),"2H",AND(MONTH(AA$3)&gt;=7,MONTH(AA$3)&lt;=12),"1H")</f>
        <v>2H</v>
      </c>
      <c r="AB6" s="214" t="str">
        <f t="array" ref="AB6">_xlfn.IFS(AND(MONTH(AB$3)&gt;=1,MONTH(AB$3)&lt;=6),"2H",AND(MONTH(AB$3)&gt;=7,MONTH(AB$3)&lt;=12),"1H")</f>
        <v>2H</v>
      </c>
      <c r="AC6" s="214" t="str">
        <f t="array" ref="AC6">_xlfn.IFS(AND(MONTH(AC$3)&gt;=1,MONTH(AC$3)&lt;=6),"2H",AND(MONTH(AC$3)&gt;=7,MONTH(AC$3)&lt;=12),"1H")</f>
        <v>1H</v>
      </c>
      <c r="AD6" s="214" t="str">
        <f t="array" ref="AD6">_xlfn.IFS(AND(MONTH(AD$3)&gt;=1,MONTH(AD$3)&lt;=6),"2H",AND(MONTH(AD$3)&gt;=7,MONTH(AD$3)&lt;=12),"1H")</f>
        <v>1H</v>
      </c>
      <c r="AE6" s="214" t="str">
        <f t="array" ref="AE6">_xlfn.IFS(AND(MONTH(AE$3)&gt;=1,MONTH(AE$3)&lt;=6),"2H",AND(MONTH(AE$3)&gt;=7,MONTH(AE$3)&lt;=12),"1H")</f>
        <v>2H</v>
      </c>
      <c r="AF6" s="214" t="str">
        <f t="array" ref="AF6">_xlfn.IFS(AND(MONTH(AF$3)&gt;=1,MONTH(AF$3)&lt;=6),"2H",AND(MONTH(AF$3)&gt;=7,MONTH(AF$3)&lt;=12),"1H")</f>
        <v>2H</v>
      </c>
      <c r="AG6" s="214" t="str">
        <f t="array" ref="AG6">_xlfn.IFS(AND(MONTH(AG$3)&gt;=1,MONTH(AG$3)&lt;=6),"2H",AND(MONTH(AG$3)&gt;=7,MONTH(AG$3)&lt;=12),"1H")</f>
        <v>1H</v>
      </c>
      <c r="AH6" s="214" t="str">
        <f t="array" ref="AH6">_xlfn.IFS(AND(MONTH(AH$3)&gt;=1,MONTH(AH$3)&lt;=6),"2H",AND(MONTH(AH$3)&gt;=7,MONTH(AH$3)&lt;=12),"1H")</f>
        <v>1H</v>
      </c>
      <c r="AI6" s="214" t="str">
        <f t="array" ref="AI6">_xlfn.IFS(AND(MONTH(AI$3)&gt;=1,MONTH(AI$3)&lt;=6),"2H",AND(MONTH(AI$3)&gt;=7,MONTH(AI$3)&lt;=12),"1H")</f>
        <v>2H</v>
      </c>
      <c r="AJ6" s="214" t="str">
        <f t="array" ref="AJ6">_xlfn.IFS(AND(MONTH(AJ$3)&gt;=1,MONTH(AJ$3)&lt;=6),"2H",AND(MONTH(AJ$3)&gt;=7,MONTH(AJ$3)&lt;=12),"1H")</f>
        <v>2H</v>
      </c>
      <c r="AK6" s="214" t="str">
        <f t="array" ref="AK6">_xlfn.IFS(AND(MONTH(AK$3)&gt;=1,MONTH(AK$3)&lt;=6),"2H",AND(MONTH(AK$3)&gt;=7,MONTH(AK$3)&lt;=12),"1H")</f>
        <v>1H</v>
      </c>
      <c r="AL6" s="214" t="str">
        <f t="array" ref="AL6">_xlfn.IFS(AND(MONTH(AL$3)&gt;=1,MONTH(AL$3)&lt;=6),"2H",AND(MONTH(AL$3)&gt;=7,MONTH(AL$3)&lt;=12),"1H")</f>
        <v>1H</v>
      </c>
      <c r="AM6" s="214" t="str">
        <f t="array" ref="AM6">_xlfn.IFS(AND(MONTH(AM$3)&gt;=1,MONTH(AM$3)&lt;=6),"2H",AND(MONTH(AM$3)&gt;=7,MONTH(AM$3)&lt;=12),"1H")</f>
        <v>2H</v>
      </c>
      <c r="AN6" s="214" t="str">
        <f t="array" ref="AN6">_xlfn.IFS(AND(MONTH(AN$3)&gt;=1,MONTH(AN$3)&lt;=6),"2H",AND(MONTH(AN$3)&gt;=7,MONTH(AN$3)&lt;=12),"1H")</f>
        <v>2H</v>
      </c>
      <c r="AO6" s="214" t="str">
        <f t="array" ref="AO6">_xlfn.IFS(AND(MONTH(AO$3)&gt;=1,MONTH(AO$3)&lt;=6),"2H",AND(MONTH(AO$3)&gt;=7,MONTH(AO$3)&lt;=12),"1H")</f>
        <v>1H</v>
      </c>
      <c r="AP6" s="214" t="str">
        <f t="array" ref="AP6">_xlfn.IFS(AND(MONTH(AP$3)&gt;=1,MONTH(AP$3)&lt;=6),"2H",AND(MONTH(AP$3)&gt;=7,MONTH(AP$3)&lt;=12),"1H")</f>
        <v>1H</v>
      </c>
      <c r="AQ6" s="214" t="str">
        <f t="array" ref="AQ6">_xlfn.IFS(AND(MONTH(AQ$3)&gt;=1,MONTH(AQ$3)&lt;=6),"2H",AND(MONTH(AQ$3)&gt;=7,MONTH(AQ$3)&lt;=12),"1H")</f>
        <v>2H</v>
      </c>
      <c r="AR6" s="214" t="str">
        <f t="array" ref="AR6">_xlfn.IFS(AND(MONTH(AR$3)&gt;=1,MONTH(AR$3)&lt;=6),"2H",AND(MONTH(AR$3)&gt;=7,MONTH(AR$3)&lt;=12),"1H")</f>
        <v>2H</v>
      </c>
      <c r="AS6" s="214" t="str">
        <f t="array" ref="AS6">_xlfn.IFS(AND(MONTH(AS$3)&gt;=1,MONTH(AS$3)&lt;=6),"2H",AND(MONTH(AS$3)&gt;=7,MONTH(AS$3)&lt;=12),"1H")</f>
        <v>1H</v>
      </c>
      <c r="AT6" s="214" t="str">
        <f t="array" ref="AT6">_xlfn.IFS(AND(MONTH(AT$3)&gt;=1,MONTH(AT$3)&lt;=6),"2H",AND(MONTH(AT$3)&gt;=7,MONTH(AT$3)&lt;=12),"1H")</f>
        <v>1H</v>
      </c>
      <c r="AU6" s="214" t="str">
        <f t="array" ref="AU6">_xlfn.IFS(AND(MONTH(AU$3)&gt;=1,MONTH(AU$3)&lt;=6),"2H",AND(MONTH(AU$3)&gt;=7,MONTH(AU$3)&lt;=12),"1H")</f>
        <v>2H</v>
      </c>
      <c r="AV6" s="214" t="str">
        <f t="array" ref="AV6">_xlfn.IFS(AND(MONTH(AV$3)&gt;=1,MONTH(AV$3)&lt;=6),"2H",AND(MONTH(AV$3)&gt;=7,MONTH(AV$3)&lt;=12),"1H")</f>
        <v>2H</v>
      </c>
      <c r="AW6" s="214" t="str">
        <f t="array" ref="AW6">_xlfn.IFS(AND(MONTH(AW$3)&gt;=1,MONTH(AW$3)&lt;=6),"2H",AND(MONTH(AW$3)&gt;=7,MONTH(AW$3)&lt;=12),"1H")</f>
        <v>1H</v>
      </c>
      <c r="AX6" s="214" t="str">
        <f t="array" ref="AX6">_xlfn.IFS(AND(MONTH(AX$3)&gt;=1,MONTH(AX$3)&lt;=6),"2H",AND(MONTH(AX$3)&gt;=7,MONTH(AX$3)&lt;=12),"1H")</f>
        <v>1H</v>
      </c>
      <c r="AY6" s="214" t="str">
        <f t="array" ref="AY6">_xlfn.IFS(AND(MONTH(AY$3)&gt;=1,MONTH(AY$3)&lt;=6),"2H",AND(MONTH(AY$3)&gt;=7,MONTH(AY$3)&lt;=12),"1H")</f>
        <v>2H</v>
      </c>
      <c r="AZ6" s="214" t="str">
        <f t="array" ref="AZ6">_xlfn.IFS(AND(MONTH(AZ$3)&gt;=1,MONTH(AZ$3)&lt;=6),"2H",AND(MONTH(AZ$3)&gt;=7,MONTH(AZ$3)&lt;=12),"1H")</f>
        <v>2H</v>
      </c>
      <c r="BA6" s="214" t="str">
        <f t="array" ref="BA6">_xlfn.IFS(AND(MONTH(BA$3)&gt;=1,MONTH(BA$3)&lt;=6),"2H",AND(MONTH(BA$3)&gt;=7,MONTH(BA$3)&lt;=12),"1H")</f>
        <v>1H</v>
      </c>
      <c r="BB6" s="214" t="str">
        <f t="array" ref="BB6">_xlfn.IFS(AND(MONTH(BB$3)&gt;=1,MONTH(BB$3)&lt;=6),"2H",AND(MONTH(BB$3)&gt;=7,MONTH(BB$3)&lt;=12),"1H")</f>
        <v>1H</v>
      </c>
      <c r="BC6" s="214" t="str">
        <f t="array" ref="BC6">_xlfn.IFS(AND(MONTH(BC$3)&gt;=1,MONTH(BC$3)&lt;=6),"2H",AND(MONTH(BC$3)&gt;=7,MONTH(BC$3)&lt;=12),"1H")</f>
        <v>2H</v>
      </c>
      <c r="BD6" s="214" t="str">
        <f t="array" ref="BD6">_xlfn.IFS(AND(MONTH(BD$3)&gt;=1,MONTH(BD$3)&lt;=6),"2H",AND(MONTH(BD$3)&gt;=7,MONTH(BD$3)&lt;=12),"1H")</f>
        <v>2H</v>
      </c>
      <c r="BE6" s="214" t="str">
        <f t="array" ref="BE6">_xlfn.IFS(AND(MONTH(BE$3)&gt;=1,MONTH(BE$3)&lt;=6),"2H",AND(MONTH(BE$3)&gt;=7,MONTH(BE$3)&lt;=12),"1H")</f>
        <v>1H</v>
      </c>
      <c r="BF6" s="214" t="str">
        <f t="array" ref="BF6">_xlfn.IFS(AND(MONTH(BF$3)&gt;=1,MONTH(BF$3)&lt;=6),"2H",AND(MONTH(BF$3)&gt;=7,MONTH(BF$3)&lt;=12),"1H")</f>
        <v>1H</v>
      </c>
      <c r="BG6" s="214" t="str">
        <f t="array" ref="BG6">_xlfn.IFS(AND(MONTH(BG$3)&gt;=1,MONTH(BG$3)&lt;=6),"2H",AND(MONTH(BG$3)&gt;=7,MONTH(BG$3)&lt;=12),"1H")</f>
        <v>2H</v>
      </c>
      <c r="BH6" s="214" t="str">
        <f t="array" ref="BH6">_xlfn.IFS(AND(MONTH(BH$3)&gt;=1,MONTH(BH$3)&lt;=6),"2H",AND(MONTH(BH$3)&gt;=7,MONTH(BH$3)&lt;=12),"1H")</f>
        <v>2H</v>
      </c>
      <c r="BI6" s="214" t="str">
        <f t="array" ref="BI6">_xlfn.IFS(AND(MONTH(BI$3)&gt;=1,MONTH(BI$3)&lt;=6),"2H",AND(MONTH(BI$3)&gt;=7,MONTH(BI$3)&lt;=12),"1H")</f>
        <v>1H</v>
      </c>
      <c r="BJ6" s="214" t="str">
        <f t="array" ref="BJ6">_xlfn.IFS(AND(MONTH(BJ$3)&gt;=1,MONTH(BJ$3)&lt;=6),"2H",AND(MONTH(BJ$3)&gt;=7,MONTH(BJ$3)&lt;=12),"1H")</f>
        <v>1H</v>
      </c>
      <c r="BK6" s="214" t="str">
        <f t="array" ref="BK6">_xlfn.IFS(AND(MONTH(BK$3)&gt;=1,MONTH(BK$3)&lt;=6),"2H",AND(MONTH(BK$3)&gt;=7,MONTH(BK$3)&lt;=12),"1H")</f>
        <v>2H</v>
      </c>
      <c r="BL6" s="214" t="str">
        <f t="array" ref="BL6">_xlfn.IFS(AND(MONTH(BL$3)&gt;=1,MONTH(BL$3)&lt;=6),"2H",AND(MONTH(BL$3)&gt;=7,MONTH(BL$3)&lt;=12),"1H")</f>
        <v>2H</v>
      </c>
      <c r="BM6" s="214" t="str">
        <f t="array" ref="BM6">_xlfn.IFS(AND(MONTH(BM$3)&gt;=1,MONTH(BM$3)&lt;=6),"2H",AND(MONTH(BM$3)&gt;=7,MONTH(BM$3)&lt;=12),"1H")</f>
        <v>1H</v>
      </c>
      <c r="BN6" s="214" t="str">
        <f t="array" ref="BN6">_xlfn.IFS(AND(MONTH(BN$3)&gt;=1,MONTH(BN$3)&lt;=6),"2H",AND(MONTH(BN$3)&gt;=7,MONTH(BN$3)&lt;=12),"1H")</f>
        <v>1H</v>
      </c>
      <c r="BO6" s="214" t="str">
        <f t="array" ref="BO6">_xlfn.IFS(AND(MONTH(BO$3)&gt;=1,MONTH(BO$3)&lt;=6),"2H",AND(MONTH(BO$3)&gt;=7,MONTH(BO$3)&lt;=12),"1H")</f>
        <v>2H</v>
      </c>
      <c r="BP6" s="214" t="str">
        <f t="array" ref="BP6">_xlfn.IFS(AND(MONTH(BP$3)&gt;=1,MONTH(BP$3)&lt;=6),"2H",AND(MONTH(BP$3)&gt;=7,MONTH(BP$3)&lt;=12),"1H")</f>
        <v>2H</v>
      </c>
      <c r="BQ6" s="214" t="str">
        <f t="array" ref="BQ6">_xlfn.IFS(AND(MONTH(BQ$3)&gt;=1,MONTH(BQ$3)&lt;=6),"2H",AND(MONTH(BQ$3)&gt;=7,MONTH(BQ$3)&lt;=12),"1H")</f>
        <v>1H</v>
      </c>
      <c r="BR6" s="214" t="str">
        <f t="array" ref="BR6">_xlfn.IFS(AND(MONTH(BR$3)&gt;=1,MONTH(BR$3)&lt;=6),"2H",AND(MONTH(BR$3)&gt;=7,MONTH(BR$3)&lt;=12),"1H")</f>
        <v>1H</v>
      </c>
      <c r="BS6" s="214" t="str">
        <f t="array" ref="BS6">_xlfn.IFS(AND(MONTH(BS$3)&gt;=1,MONTH(BS$3)&lt;=6),"2H",AND(MONTH(BS$3)&gt;=7,MONTH(BS$3)&lt;=12),"1H")</f>
        <v>2H</v>
      </c>
      <c r="BT6" s="214" t="str">
        <f t="array" ref="BT6">_xlfn.IFS(AND(MONTH(BT$3)&gt;=1,MONTH(BT$3)&lt;=6),"2H",AND(MONTH(BT$3)&gt;=7,MONTH(BT$3)&lt;=12),"1H")</f>
        <v>2H</v>
      </c>
      <c r="BU6" s="214" t="str">
        <f t="array" ref="BU6">_xlfn.IFS(AND(MONTH(BU$3)&gt;=1,MONTH(BU$3)&lt;=6),"2H",AND(MONTH(BU$3)&gt;=7,MONTH(BU$3)&lt;=12),"1H")</f>
        <v>1H</v>
      </c>
      <c r="BV6" s="214" t="str">
        <f t="array" ref="BV6">_xlfn.IFS(AND(MONTH(BV$3)&gt;=1,MONTH(BV$3)&lt;=6),"2H",AND(MONTH(BV$3)&gt;=7,MONTH(BV$3)&lt;=12),"1H")</f>
        <v>1H</v>
      </c>
      <c r="BW6" s="214" t="str">
        <f t="array" ref="BW6">_xlfn.IFS(AND(MONTH(BW$3)&gt;=1,MONTH(BW$3)&lt;=6),"2H",AND(MONTH(BW$3)&gt;=7,MONTH(BW$3)&lt;=12),"1H")</f>
        <v>2H</v>
      </c>
      <c r="BX6" s="214" t="str">
        <f t="array" ref="BX6">_xlfn.IFS(AND(MONTH(BX$3)&gt;=1,MONTH(BX$3)&lt;=6),"2H",AND(MONTH(BX$3)&gt;=7,MONTH(BX$3)&lt;=12),"1H")</f>
        <v>2H</v>
      </c>
      <c r="BY6" s="214" t="str">
        <f t="array" ref="BY6">_xlfn.IFS(AND(MONTH(BY$3)&gt;=1,MONTH(BY$3)&lt;=6),"2H",AND(MONTH(BY$3)&gt;=7,MONTH(BY$3)&lt;=12),"1H")</f>
        <v>1H</v>
      </c>
      <c r="BZ6" s="214" t="str">
        <f t="array" ref="BZ6">_xlfn.IFS(AND(MONTH(BZ$3)&gt;=1,MONTH(BZ$3)&lt;=6),"2H",AND(MONTH(BZ$3)&gt;=7,MONTH(BZ$3)&lt;=12),"1H")</f>
        <v>1H</v>
      </c>
      <c r="CA6" s="214" t="str">
        <f t="array" ref="CA6">_xlfn.IFS(AND(MONTH(CA$3)&gt;=1,MONTH(CA$3)&lt;=6),"2H",AND(MONTH(CA$3)&gt;=7,MONTH(CA$3)&lt;=12),"1H")</f>
        <v>2H</v>
      </c>
      <c r="CB6" s="214" t="str">
        <f t="array" ref="CB6">_xlfn.IFS(AND(MONTH(CB$3)&gt;=1,MONTH(CB$3)&lt;=6),"2H",AND(MONTH(CB$3)&gt;=7,MONTH(CB$3)&lt;=12),"1H")</f>
        <v>2H</v>
      </c>
    </row>
    <row r="7" spans="1:80" s="205" customFormat="1" outlineLevel="1" x14ac:dyDescent="0.2">
      <c r="A7" s="206"/>
      <c r="B7" s="211" t="s">
        <v>13</v>
      </c>
      <c r="C7" s="212"/>
      <c r="D7" s="215"/>
      <c r="E7" s="214" t="str">
        <f t="array" ref="E7">_xlfn.IFS(AND(MONTH(E$3)&gt;=1,MONTH(E$3)&lt;=6),RIGHT(YEAR(E3),2),AND(MONTH(E$3)&gt;=7,MONTH(E$3)&lt;=12),RIGHT(YEAR(E3)+1,2))</f>
        <v>22</v>
      </c>
      <c r="F7" s="214" t="str">
        <f t="array" ref="F7">_xlfn.IFS(AND(MONTH(F$3)&gt;=1,MONTH(F$3)&lt;=6),RIGHT(YEAR(F3),2),AND(MONTH(F$3)&gt;=7,MONTH(F$3)&lt;=12),RIGHT(YEAR(F3)+1,2))</f>
        <v>22</v>
      </c>
      <c r="G7" s="214" t="str">
        <f t="array" ref="G7">_xlfn.IFS(AND(MONTH(G$3)&gt;=1,MONTH(G$3)&lt;=6),RIGHT(YEAR(G3),2),AND(MONTH(G$3)&gt;=7,MONTH(G$3)&lt;=12),RIGHT(YEAR(G3)+1,2))</f>
        <v>22</v>
      </c>
      <c r="H7" s="214" t="str">
        <f t="array" ref="H7">_xlfn.IFS(AND(MONTH(H$3)&gt;=1,MONTH(H$3)&lt;=6),RIGHT(YEAR(H3),2),AND(MONTH(H$3)&gt;=7,MONTH(H$3)&lt;=12),RIGHT(YEAR(H3)+1,2))</f>
        <v>22</v>
      </c>
      <c r="I7" s="214" t="str">
        <f t="array" ref="I7">_xlfn.IFS(AND(MONTH(I$3)&gt;=1,MONTH(I$3)&lt;=6),RIGHT(YEAR(I3),2),AND(MONTH(I$3)&gt;=7,MONTH(I$3)&lt;=12),RIGHT(YEAR(I3)+1,2))</f>
        <v>23</v>
      </c>
      <c r="J7" s="214" t="str">
        <f t="array" ref="J7">_xlfn.IFS(AND(MONTH(J$3)&gt;=1,MONTH(J$3)&lt;=6),RIGHT(YEAR(J3),2),AND(MONTH(J$3)&gt;=7,MONTH(J$3)&lt;=12),RIGHT(YEAR(J3)+1,2))</f>
        <v>23</v>
      </c>
      <c r="K7" s="214" t="str">
        <f t="array" ref="K7">_xlfn.IFS(AND(MONTH(K$3)&gt;=1,MONTH(K$3)&lt;=6),RIGHT(YEAR(K3),2),AND(MONTH(K$3)&gt;=7,MONTH(K$3)&lt;=12),RIGHT(YEAR(K3)+1,2))</f>
        <v>23</v>
      </c>
      <c r="L7" s="214" t="str">
        <f t="array" ref="L7">_xlfn.IFS(AND(MONTH(L$3)&gt;=1,MONTH(L$3)&lt;=6),RIGHT(YEAR(L3),2),AND(MONTH(L$3)&gt;=7,MONTH(L$3)&lt;=12),RIGHT(YEAR(L3)+1,2))</f>
        <v>23</v>
      </c>
      <c r="M7" s="214" t="str">
        <f t="array" ref="M7">_xlfn.IFS(AND(MONTH(M$3)&gt;=1,MONTH(M$3)&lt;=6),RIGHT(YEAR(M3),2),AND(MONTH(M$3)&gt;=7,MONTH(M$3)&lt;=12),RIGHT(YEAR(M3)+1,2))</f>
        <v>24</v>
      </c>
      <c r="N7" s="214" t="str">
        <f t="array" ref="N7">_xlfn.IFS(AND(MONTH(N$3)&gt;=1,MONTH(N$3)&lt;=6),RIGHT(YEAR(N3),2),AND(MONTH(N$3)&gt;=7,MONTH(N$3)&lt;=12),RIGHT(YEAR(N3)+1,2))</f>
        <v>24</v>
      </c>
      <c r="O7" s="214" t="str">
        <f t="array" ref="O7">_xlfn.IFS(AND(MONTH(O$3)&gt;=1,MONTH(O$3)&lt;=6),RIGHT(YEAR(O3),2),AND(MONTH(O$3)&gt;=7,MONTH(O$3)&lt;=12),RIGHT(YEAR(O3)+1,2))</f>
        <v>24</v>
      </c>
      <c r="P7" s="214" t="str">
        <f t="array" ref="P7">_xlfn.IFS(AND(MONTH(P$3)&gt;=1,MONTH(P$3)&lt;=6),RIGHT(YEAR(P3),2),AND(MONTH(P$3)&gt;=7,MONTH(P$3)&lt;=12),RIGHT(YEAR(P3)+1,2))</f>
        <v>24</v>
      </c>
      <c r="Q7" s="214" t="str">
        <f t="array" ref="Q7">_xlfn.IFS(AND(MONTH(Q$3)&gt;=1,MONTH(Q$3)&lt;=6),RIGHT(YEAR(Q3),2),AND(MONTH(Q$3)&gt;=7,MONTH(Q$3)&lt;=12),RIGHT(YEAR(Q3)+1,2))</f>
        <v>25</v>
      </c>
      <c r="R7" s="214" t="str">
        <f t="array" ref="R7">_xlfn.IFS(AND(MONTH(R$3)&gt;=1,MONTH(R$3)&lt;=6),RIGHT(YEAR(R3),2),AND(MONTH(R$3)&gt;=7,MONTH(R$3)&lt;=12),RIGHT(YEAR(R3)+1,2))</f>
        <v>25</v>
      </c>
      <c r="S7" s="214" t="str">
        <f t="array" ref="S7">_xlfn.IFS(AND(MONTH(S$3)&gt;=1,MONTH(S$3)&lt;=6),RIGHT(YEAR(S3),2),AND(MONTH(S$3)&gt;=7,MONTH(S$3)&lt;=12),RIGHT(YEAR(S3)+1,2))</f>
        <v>25</v>
      </c>
      <c r="T7" s="214" t="str">
        <f t="array" ref="T7">_xlfn.IFS(AND(MONTH(T$3)&gt;=1,MONTH(T$3)&lt;=6),RIGHT(YEAR(T3),2),AND(MONTH(T$3)&gt;=7,MONTH(T$3)&lt;=12),RIGHT(YEAR(T3)+1,2))</f>
        <v>25</v>
      </c>
      <c r="U7" s="214" t="str">
        <f t="array" ref="U7">_xlfn.IFS(AND(MONTH(U$3)&gt;=1,MONTH(U$3)&lt;=6),RIGHT(YEAR(U3),2),AND(MONTH(U$3)&gt;=7,MONTH(U$3)&lt;=12),RIGHT(YEAR(U3)+1,2))</f>
        <v>26</v>
      </c>
      <c r="V7" s="214" t="str">
        <f t="array" ref="V7">_xlfn.IFS(AND(MONTH(V$3)&gt;=1,MONTH(V$3)&lt;=6),RIGHT(YEAR(V3),2),AND(MONTH(V$3)&gt;=7,MONTH(V$3)&lt;=12),RIGHT(YEAR(V3)+1,2))</f>
        <v>26</v>
      </c>
      <c r="W7" s="214" t="str">
        <f t="array" ref="W7">_xlfn.IFS(AND(MONTH(W$3)&gt;=1,MONTH(W$3)&lt;=6),RIGHT(YEAR(W3),2),AND(MONTH(W$3)&gt;=7,MONTH(W$3)&lt;=12),RIGHT(YEAR(W3)+1,2))</f>
        <v>26</v>
      </c>
      <c r="X7" s="214" t="str">
        <f t="array" ref="X7">_xlfn.IFS(AND(MONTH(X$3)&gt;=1,MONTH(X$3)&lt;=6),RIGHT(YEAR(X3),2),AND(MONTH(X$3)&gt;=7,MONTH(X$3)&lt;=12),RIGHT(YEAR(X3)+1,2))</f>
        <v>26</v>
      </c>
      <c r="Y7" s="214" t="str">
        <f t="array" ref="Y7">_xlfn.IFS(AND(MONTH(Y$3)&gt;=1,MONTH(Y$3)&lt;=6),RIGHT(YEAR(Y3),2),AND(MONTH(Y$3)&gt;=7,MONTH(Y$3)&lt;=12),RIGHT(YEAR(Y3)+1,2))</f>
        <v>27</v>
      </c>
      <c r="Z7" s="214" t="str">
        <f t="array" ref="Z7">_xlfn.IFS(AND(MONTH(Z$3)&gt;=1,MONTH(Z$3)&lt;=6),RIGHT(YEAR(Z3),2),AND(MONTH(Z$3)&gt;=7,MONTH(Z$3)&lt;=12),RIGHT(YEAR(Z3)+1,2))</f>
        <v>27</v>
      </c>
      <c r="AA7" s="214" t="str">
        <f t="array" ref="AA7">_xlfn.IFS(AND(MONTH(AA$3)&gt;=1,MONTH(AA$3)&lt;=6),RIGHT(YEAR(AA3),2),AND(MONTH(AA$3)&gt;=7,MONTH(AA$3)&lt;=12),RIGHT(YEAR(AA3)+1,2))</f>
        <v>27</v>
      </c>
      <c r="AB7" s="214" t="str">
        <f t="array" ref="AB7">_xlfn.IFS(AND(MONTH(AB$3)&gt;=1,MONTH(AB$3)&lt;=6),RIGHT(YEAR(AB3),2),AND(MONTH(AB$3)&gt;=7,MONTH(AB$3)&lt;=12),RIGHT(YEAR(AB3)+1,2))</f>
        <v>27</v>
      </c>
      <c r="AC7" s="214" t="str">
        <f t="array" ref="AC7">_xlfn.IFS(AND(MONTH(AC$3)&gt;=1,MONTH(AC$3)&lt;=6),RIGHT(YEAR(AC3),2),AND(MONTH(AC$3)&gt;=7,MONTH(AC$3)&lt;=12),RIGHT(YEAR(AC3)+1,2))</f>
        <v>28</v>
      </c>
      <c r="AD7" s="214" t="str">
        <f t="array" ref="AD7">_xlfn.IFS(AND(MONTH(AD$3)&gt;=1,MONTH(AD$3)&lt;=6),RIGHT(YEAR(AD3),2),AND(MONTH(AD$3)&gt;=7,MONTH(AD$3)&lt;=12),RIGHT(YEAR(AD3)+1,2))</f>
        <v>28</v>
      </c>
      <c r="AE7" s="214" t="str">
        <f t="array" ref="AE7">_xlfn.IFS(AND(MONTH(AE$3)&gt;=1,MONTH(AE$3)&lt;=6),RIGHT(YEAR(AE3),2),AND(MONTH(AE$3)&gt;=7,MONTH(AE$3)&lt;=12),RIGHT(YEAR(AE3)+1,2))</f>
        <v>28</v>
      </c>
      <c r="AF7" s="214" t="str">
        <f t="array" ref="AF7">_xlfn.IFS(AND(MONTH(AF$3)&gt;=1,MONTH(AF$3)&lt;=6),RIGHT(YEAR(AF3),2),AND(MONTH(AF$3)&gt;=7,MONTH(AF$3)&lt;=12),RIGHT(YEAR(AF3)+1,2))</f>
        <v>28</v>
      </c>
      <c r="AG7" s="214" t="str">
        <f t="array" ref="AG7">_xlfn.IFS(AND(MONTH(AG$3)&gt;=1,MONTH(AG$3)&lt;=6),RIGHT(YEAR(AG3),2),AND(MONTH(AG$3)&gt;=7,MONTH(AG$3)&lt;=12),RIGHT(YEAR(AG3)+1,2))</f>
        <v>29</v>
      </c>
      <c r="AH7" s="214" t="str">
        <f t="array" ref="AH7">_xlfn.IFS(AND(MONTH(AH$3)&gt;=1,MONTH(AH$3)&lt;=6),RIGHT(YEAR(AH3),2),AND(MONTH(AH$3)&gt;=7,MONTH(AH$3)&lt;=12),RIGHT(YEAR(AH3)+1,2))</f>
        <v>29</v>
      </c>
      <c r="AI7" s="214" t="str">
        <f t="array" ref="AI7">_xlfn.IFS(AND(MONTH(AI$3)&gt;=1,MONTH(AI$3)&lt;=6),RIGHT(YEAR(AI3),2),AND(MONTH(AI$3)&gt;=7,MONTH(AI$3)&lt;=12),RIGHT(YEAR(AI3)+1,2))</f>
        <v>29</v>
      </c>
      <c r="AJ7" s="214" t="str">
        <f t="array" ref="AJ7">_xlfn.IFS(AND(MONTH(AJ$3)&gt;=1,MONTH(AJ$3)&lt;=6),RIGHT(YEAR(AJ3),2),AND(MONTH(AJ$3)&gt;=7,MONTH(AJ$3)&lt;=12),RIGHT(YEAR(AJ3)+1,2))</f>
        <v>29</v>
      </c>
      <c r="AK7" s="214" t="str">
        <f t="array" ref="AK7">_xlfn.IFS(AND(MONTH(AK$3)&gt;=1,MONTH(AK$3)&lt;=6),RIGHT(YEAR(AK3),2),AND(MONTH(AK$3)&gt;=7,MONTH(AK$3)&lt;=12),RIGHT(YEAR(AK3)+1,2))</f>
        <v>30</v>
      </c>
      <c r="AL7" s="214" t="str">
        <f t="array" ref="AL7">_xlfn.IFS(AND(MONTH(AL$3)&gt;=1,MONTH(AL$3)&lt;=6),RIGHT(YEAR(AL3),2),AND(MONTH(AL$3)&gt;=7,MONTH(AL$3)&lt;=12),RIGHT(YEAR(AL3)+1,2))</f>
        <v>30</v>
      </c>
      <c r="AM7" s="214" t="str">
        <f t="array" ref="AM7">_xlfn.IFS(AND(MONTH(AM$3)&gt;=1,MONTH(AM$3)&lt;=6),RIGHT(YEAR(AM3),2),AND(MONTH(AM$3)&gt;=7,MONTH(AM$3)&lt;=12),RIGHT(YEAR(AM3)+1,2))</f>
        <v>30</v>
      </c>
      <c r="AN7" s="214" t="str">
        <f t="array" ref="AN7">_xlfn.IFS(AND(MONTH(AN$3)&gt;=1,MONTH(AN$3)&lt;=6),RIGHT(YEAR(AN3),2),AND(MONTH(AN$3)&gt;=7,MONTH(AN$3)&lt;=12),RIGHT(YEAR(AN3)+1,2))</f>
        <v>30</v>
      </c>
      <c r="AO7" s="214" t="str">
        <f t="array" ref="AO7">_xlfn.IFS(AND(MONTH(AO$3)&gt;=1,MONTH(AO$3)&lt;=6),RIGHT(YEAR(AO3),2),AND(MONTH(AO$3)&gt;=7,MONTH(AO$3)&lt;=12),RIGHT(YEAR(AO3)+1,2))</f>
        <v>31</v>
      </c>
      <c r="AP7" s="214" t="str">
        <f t="array" ref="AP7">_xlfn.IFS(AND(MONTH(AP$3)&gt;=1,MONTH(AP$3)&lt;=6),RIGHT(YEAR(AP3),2),AND(MONTH(AP$3)&gt;=7,MONTH(AP$3)&lt;=12),RIGHT(YEAR(AP3)+1,2))</f>
        <v>31</v>
      </c>
      <c r="AQ7" s="214" t="str">
        <f t="array" ref="AQ7">_xlfn.IFS(AND(MONTH(AQ$3)&gt;=1,MONTH(AQ$3)&lt;=6),RIGHT(YEAR(AQ3),2),AND(MONTH(AQ$3)&gt;=7,MONTH(AQ$3)&lt;=12),RIGHT(YEAR(AQ3)+1,2))</f>
        <v>31</v>
      </c>
      <c r="AR7" s="214" t="str">
        <f t="array" ref="AR7">_xlfn.IFS(AND(MONTH(AR$3)&gt;=1,MONTH(AR$3)&lt;=6),RIGHT(YEAR(AR3),2),AND(MONTH(AR$3)&gt;=7,MONTH(AR$3)&lt;=12),RIGHT(YEAR(AR3)+1,2))</f>
        <v>31</v>
      </c>
      <c r="AS7" s="214" t="str">
        <f t="array" ref="AS7">_xlfn.IFS(AND(MONTH(AS$3)&gt;=1,MONTH(AS$3)&lt;=6),RIGHT(YEAR(AS3),2),AND(MONTH(AS$3)&gt;=7,MONTH(AS$3)&lt;=12),RIGHT(YEAR(AS3)+1,2))</f>
        <v>32</v>
      </c>
      <c r="AT7" s="214" t="str">
        <f t="array" ref="AT7">_xlfn.IFS(AND(MONTH(AT$3)&gt;=1,MONTH(AT$3)&lt;=6),RIGHT(YEAR(AT3),2),AND(MONTH(AT$3)&gt;=7,MONTH(AT$3)&lt;=12),RIGHT(YEAR(AT3)+1,2))</f>
        <v>32</v>
      </c>
      <c r="AU7" s="214" t="str">
        <f t="array" ref="AU7">_xlfn.IFS(AND(MONTH(AU$3)&gt;=1,MONTH(AU$3)&lt;=6),RIGHT(YEAR(AU3),2),AND(MONTH(AU$3)&gt;=7,MONTH(AU$3)&lt;=12),RIGHT(YEAR(AU3)+1,2))</f>
        <v>32</v>
      </c>
      <c r="AV7" s="214" t="str">
        <f t="array" ref="AV7">_xlfn.IFS(AND(MONTH(AV$3)&gt;=1,MONTH(AV$3)&lt;=6),RIGHT(YEAR(AV3),2),AND(MONTH(AV$3)&gt;=7,MONTH(AV$3)&lt;=12),RIGHT(YEAR(AV3)+1,2))</f>
        <v>32</v>
      </c>
      <c r="AW7" s="214" t="str">
        <f t="array" ref="AW7">_xlfn.IFS(AND(MONTH(AW$3)&gt;=1,MONTH(AW$3)&lt;=6),RIGHT(YEAR(AW3),2),AND(MONTH(AW$3)&gt;=7,MONTH(AW$3)&lt;=12),RIGHT(YEAR(AW3)+1,2))</f>
        <v>33</v>
      </c>
      <c r="AX7" s="214" t="str">
        <f t="array" ref="AX7">_xlfn.IFS(AND(MONTH(AX$3)&gt;=1,MONTH(AX$3)&lt;=6),RIGHT(YEAR(AX3),2),AND(MONTH(AX$3)&gt;=7,MONTH(AX$3)&lt;=12),RIGHT(YEAR(AX3)+1,2))</f>
        <v>33</v>
      </c>
      <c r="AY7" s="214" t="str">
        <f t="array" ref="AY7">_xlfn.IFS(AND(MONTH(AY$3)&gt;=1,MONTH(AY$3)&lt;=6),RIGHT(YEAR(AY3),2),AND(MONTH(AY$3)&gt;=7,MONTH(AY$3)&lt;=12),RIGHT(YEAR(AY3)+1,2))</f>
        <v>33</v>
      </c>
      <c r="AZ7" s="214" t="str">
        <f t="array" ref="AZ7">_xlfn.IFS(AND(MONTH(AZ$3)&gt;=1,MONTH(AZ$3)&lt;=6),RIGHT(YEAR(AZ3),2),AND(MONTH(AZ$3)&gt;=7,MONTH(AZ$3)&lt;=12),RIGHT(YEAR(AZ3)+1,2))</f>
        <v>33</v>
      </c>
      <c r="BA7" s="214" t="str">
        <f t="array" ref="BA7">_xlfn.IFS(AND(MONTH(BA$3)&gt;=1,MONTH(BA$3)&lt;=6),RIGHT(YEAR(BA3),2),AND(MONTH(BA$3)&gt;=7,MONTH(BA$3)&lt;=12),RIGHT(YEAR(BA3)+1,2))</f>
        <v>34</v>
      </c>
      <c r="BB7" s="214" t="str">
        <f t="array" ref="BB7">_xlfn.IFS(AND(MONTH(BB$3)&gt;=1,MONTH(BB$3)&lt;=6),RIGHT(YEAR(BB3),2),AND(MONTH(BB$3)&gt;=7,MONTH(BB$3)&lt;=12),RIGHT(YEAR(BB3)+1,2))</f>
        <v>34</v>
      </c>
      <c r="BC7" s="214" t="str">
        <f t="array" ref="BC7">_xlfn.IFS(AND(MONTH(BC$3)&gt;=1,MONTH(BC$3)&lt;=6),RIGHT(YEAR(BC3),2),AND(MONTH(BC$3)&gt;=7,MONTH(BC$3)&lt;=12),RIGHT(YEAR(BC3)+1,2))</f>
        <v>34</v>
      </c>
      <c r="BD7" s="214" t="str">
        <f t="array" ref="BD7">_xlfn.IFS(AND(MONTH(BD$3)&gt;=1,MONTH(BD$3)&lt;=6),RIGHT(YEAR(BD3),2),AND(MONTH(BD$3)&gt;=7,MONTH(BD$3)&lt;=12),RIGHT(YEAR(BD3)+1,2))</f>
        <v>34</v>
      </c>
      <c r="BE7" s="214" t="str">
        <f t="array" ref="BE7">_xlfn.IFS(AND(MONTH(BE$3)&gt;=1,MONTH(BE$3)&lt;=6),RIGHT(YEAR(BE3),2),AND(MONTH(BE$3)&gt;=7,MONTH(BE$3)&lt;=12),RIGHT(YEAR(BE3)+1,2))</f>
        <v>35</v>
      </c>
      <c r="BF7" s="214" t="str">
        <f t="array" ref="BF7">_xlfn.IFS(AND(MONTH(BF$3)&gt;=1,MONTH(BF$3)&lt;=6),RIGHT(YEAR(BF3),2),AND(MONTH(BF$3)&gt;=7,MONTH(BF$3)&lt;=12),RIGHT(YEAR(BF3)+1,2))</f>
        <v>35</v>
      </c>
      <c r="BG7" s="214" t="str">
        <f t="array" ref="BG7">_xlfn.IFS(AND(MONTH(BG$3)&gt;=1,MONTH(BG$3)&lt;=6),RIGHT(YEAR(BG3),2),AND(MONTH(BG$3)&gt;=7,MONTH(BG$3)&lt;=12),RIGHT(YEAR(BG3)+1,2))</f>
        <v>35</v>
      </c>
      <c r="BH7" s="214" t="str">
        <f t="array" ref="BH7">_xlfn.IFS(AND(MONTH(BH$3)&gt;=1,MONTH(BH$3)&lt;=6),RIGHT(YEAR(BH3),2),AND(MONTH(BH$3)&gt;=7,MONTH(BH$3)&lt;=12),RIGHT(YEAR(BH3)+1,2))</f>
        <v>35</v>
      </c>
      <c r="BI7" s="214" t="str">
        <f t="array" ref="BI7">_xlfn.IFS(AND(MONTH(BI$3)&gt;=1,MONTH(BI$3)&lt;=6),RIGHT(YEAR(BI3),2),AND(MONTH(BI$3)&gt;=7,MONTH(BI$3)&lt;=12),RIGHT(YEAR(BI3)+1,2))</f>
        <v>36</v>
      </c>
      <c r="BJ7" s="214" t="str">
        <f t="array" ref="BJ7">_xlfn.IFS(AND(MONTH(BJ$3)&gt;=1,MONTH(BJ$3)&lt;=6),RIGHT(YEAR(BJ3),2),AND(MONTH(BJ$3)&gt;=7,MONTH(BJ$3)&lt;=12),RIGHT(YEAR(BJ3)+1,2))</f>
        <v>36</v>
      </c>
      <c r="BK7" s="214" t="str">
        <f t="array" ref="BK7">_xlfn.IFS(AND(MONTH(BK$3)&gt;=1,MONTH(BK$3)&lt;=6),RIGHT(YEAR(BK3),2),AND(MONTH(BK$3)&gt;=7,MONTH(BK$3)&lt;=12),RIGHT(YEAR(BK3)+1,2))</f>
        <v>36</v>
      </c>
      <c r="BL7" s="214" t="str">
        <f t="array" ref="BL7">_xlfn.IFS(AND(MONTH(BL$3)&gt;=1,MONTH(BL$3)&lt;=6),RIGHT(YEAR(BL3),2),AND(MONTH(BL$3)&gt;=7,MONTH(BL$3)&lt;=12),RIGHT(YEAR(BL3)+1,2))</f>
        <v>36</v>
      </c>
      <c r="BM7" s="214" t="str">
        <f t="array" ref="BM7">_xlfn.IFS(AND(MONTH(BM$3)&gt;=1,MONTH(BM$3)&lt;=6),RIGHT(YEAR(BM3),2),AND(MONTH(BM$3)&gt;=7,MONTH(BM$3)&lt;=12),RIGHT(YEAR(BM3)+1,2))</f>
        <v>37</v>
      </c>
      <c r="BN7" s="214" t="str">
        <f t="array" ref="BN7">_xlfn.IFS(AND(MONTH(BN$3)&gt;=1,MONTH(BN$3)&lt;=6),RIGHT(YEAR(BN3),2),AND(MONTH(BN$3)&gt;=7,MONTH(BN$3)&lt;=12),RIGHT(YEAR(BN3)+1,2))</f>
        <v>37</v>
      </c>
      <c r="BO7" s="214" t="str">
        <f t="array" ref="BO7">_xlfn.IFS(AND(MONTH(BO$3)&gt;=1,MONTH(BO$3)&lt;=6),RIGHT(YEAR(BO3),2),AND(MONTH(BO$3)&gt;=7,MONTH(BO$3)&lt;=12),RIGHT(YEAR(BO3)+1,2))</f>
        <v>37</v>
      </c>
      <c r="BP7" s="214" t="str">
        <f t="array" ref="BP7">_xlfn.IFS(AND(MONTH(BP$3)&gt;=1,MONTH(BP$3)&lt;=6),RIGHT(YEAR(BP3),2),AND(MONTH(BP$3)&gt;=7,MONTH(BP$3)&lt;=12),RIGHT(YEAR(BP3)+1,2))</f>
        <v>37</v>
      </c>
      <c r="BQ7" s="214" t="str">
        <f t="array" ref="BQ7">_xlfn.IFS(AND(MONTH(BQ$3)&gt;=1,MONTH(BQ$3)&lt;=6),RIGHT(YEAR(BQ3),2),AND(MONTH(BQ$3)&gt;=7,MONTH(BQ$3)&lt;=12),RIGHT(YEAR(BQ3)+1,2))</f>
        <v>38</v>
      </c>
      <c r="BR7" s="214" t="str">
        <f t="array" ref="BR7">_xlfn.IFS(AND(MONTH(BR$3)&gt;=1,MONTH(BR$3)&lt;=6),RIGHT(YEAR(BR3),2),AND(MONTH(BR$3)&gt;=7,MONTH(BR$3)&lt;=12),RIGHT(YEAR(BR3)+1,2))</f>
        <v>38</v>
      </c>
      <c r="BS7" s="214" t="str">
        <f t="array" ref="BS7">_xlfn.IFS(AND(MONTH(BS$3)&gt;=1,MONTH(BS$3)&lt;=6),RIGHT(YEAR(BS3),2),AND(MONTH(BS$3)&gt;=7,MONTH(BS$3)&lt;=12),RIGHT(YEAR(BS3)+1,2))</f>
        <v>38</v>
      </c>
      <c r="BT7" s="214" t="str">
        <f t="array" ref="BT7">_xlfn.IFS(AND(MONTH(BT$3)&gt;=1,MONTH(BT$3)&lt;=6),RIGHT(YEAR(BT3),2),AND(MONTH(BT$3)&gt;=7,MONTH(BT$3)&lt;=12),RIGHT(YEAR(BT3)+1,2))</f>
        <v>38</v>
      </c>
      <c r="BU7" s="214" t="str">
        <f t="array" ref="BU7">_xlfn.IFS(AND(MONTH(BU$3)&gt;=1,MONTH(BU$3)&lt;=6),RIGHT(YEAR(BU3),2),AND(MONTH(BU$3)&gt;=7,MONTH(BU$3)&lt;=12),RIGHT(YEAR(BU3)+1,2))</f>
        <v>39</v>
      </c>
      <c r="BV7" s="214" t="str">
        <f t="array" ref="BV7">_xlfn.IFS(AND(MONTH(BV$3)&gt;=1,MONTH(BV$3)&lt;=6),RIGHT(YEAR(BV3),2),AND(MONTH(BV$3)&gt;=7,MONTH(BV$3)&lt;=12),RIGHT(YEAR(BV3)+1,2))</f>
        <v>39</v>
      </c>
      <c r="BW7" s="214" t="str">
        <f t="array" ref="BW7">_xlfn.IFS(AND(MONTH(BW$3)&gt;=1,MONTH(BW$3)&lt;=6),RIGHT(YEAR(BW3),2),AND(MONTH(BW$3)&gt;=7,MONTH(BW$3)&lt;=12),RIGHT(YEAR(BW3)+1,2))</f>
        <v>39</v>
      </c>
      <c r="BX7" s="214" t="str">
        <f t="array" ref="BX7">_xlfn.IFS(AND(MONTH(BX$3)&gt;=1,MONTH(BX$3)&lt;=6),RIGHT(YEAR(BX3),2),AND(MONTH(BX$3)&gt;=7,MONTH(BX$3)&lt;=12),RIGHT(YEAR(BX3)+1,2))</f>
        <v>39</v>
      </c>
      <c r="BY7" s="214" t="str">
        <f t="array" ref="BY7">_xlfn.IFS(AND(MONTH(BY$3)&gt;=1,MONTH(BY$3)&lt;=6),RIGHT(YEAR(BY3),2),AND(MONTH(BY$3)&gt;=7,MONTH(BY$3)&lt;=12),RIGHT(YEAR(BY3)+1,2))</f>
        <v>40</v>
      </c>
      <c r="BZ7" s="214" t="str">
        <f t="array" ref="BZ7">_xlfn.IFS(AND(MONTH(BZ$3)&gt;=1,MONTH(BZ$3)&lt;=6),RIGHT(YEAR(BZ3),2),AND(MONTH(BZ$3)&gt;=7,MONTH(BZ$3)&lt;=12),RIGHT(YEAR(BZ3)+1,2))</f>
        <v>40</v>
      </c>
      <c r="CA7" s="214" t="str">
        <f t="array" ref="CA7">_xlfn.IFS(AND(MONTH(CA$3)&gt;=1,MONTH(CA$3)&lt;=6),RIGHT(YEAR(CA3),2),AND(MONTH(CA$3)&gt;=7,MONTH(CA$3)&lt;=12),RIGHT(YEAR(CA3)+1,2))</f>
        <v>40</v>
      </c>
      <c r="CB7" s="214" t="str">
        <f t="array" ref="CB7">_xlfn.IFS(AND(MONTH(CB$3)&gt;=1,MONTH(CB$3)&lt;=6),RIGHT(YEAR(CB3),2),AND(MONTH(CB$3)&gt;=7,MONTH(CB$3)&lt;=12),RIGHT(YEAR(CB3)+1,2))</f>
        <v>40</v>
      </c>
    </row>
    <row r="8" spans="1:80" s="205" customFormat="1" outlineLevel="1" x14ac:dyDescent="0.2">
      <c r="A8" s="206"/>
      <c r="B8" s="211" t="s">
        <v>1174</v>
      </c>
      <c r="C8" s="212"/>
      <c r="D8" s="215"/>
      <c r="E8" s="214" t="str">
        <f t="shared" ref="E8:AJ8" si="6">E$5&amp;TEXT(E$7,"00")</f>
        <v>1Q22</v>
      </c>
      <c r="F8" s="214" t="str">
        <f t="shared" si="6"/>
        <v>2Q22</v>
      </c>
      <c r="G8" s="214" t="str">
        <f t="shared" si="6"/>
        <v>3Q22</v>
      </c>
      <c r="H8" s="214" t="str">
        <f t="shared" si="6"/>
        <v>4Q22</v>
      </c>
      <c r="I8" s="214" t="str">
        <f t="shared" si="6"/>
        <v>1Q23</v>
      </c>
      <c r="J8" s="214" t="str">
        <f t="shared" si="6"/>
        <v>2Q23</v>
      </c>
      <c r="K8" s="214" t="str">
        <f t="shared" si="6"/>
        <v>3Q23</v>
      </c>
      <c r="L8" s="214" t="str">
        <f t="shared" si="6"/>
        <v>4Q23</v>
      </c>
      <c r="M8" s="214" t="str">
        <f t="shared" si="6"/>
        <v>1Q24</v>
      </c>
      <c r="N8" s="214" t="str">
        <f t="shared" si="6"/>
        <v>2Q24</v>
      </c>
      <c r="O8" s="214" t="str">
        <f t="shared" si="6"/>
        <v>3Q24</v>
      </c>
      <c r="P8" s="214" t="str">
        <f t="shared" si="6"/>
        <v>4Q24</v>
      </c>
      <c r="Q8" s="214" t="str">
        <f t="shared" si="6"/>
        <v>1Q25</v>
      </c>
      <c r="R8" s="214" t="str">
        <f t="shared" si="6"/>
        <v>2Q25</v>
      </c>
      <c r="S8" s="214" t="str">
        <f t="shared" si="6"/>
        <v>3Q25</v>
      </c>
      <c r="T8" s="214" t="str">
        <f t="shared" si="6"/>
        <v>4Q25</v>
      </c>
      <c r="U8" s="214" t="str">
        <f t="shared" si="6"/>
        <v>1Q26</v>
      </c>
      <c r="V8" s="214" t="str">
        <f t="shared" si="6"/>
        <v>2Q26</v>
      </c>
      <c r="W8" s="214" t="str">
        <f t="shared" si="6"/>
        <v>3Q26</v>
      </c>
      <c r="X8" s="214" t="str">
        <f t="shared" si="6"/>
        <v>4Q26</v>
      </c>
      <c r="Y8" s="214" t="str">
        <f t="shared" si="6"/>
        <v>1Q27</v>
      </c>
      <c r="Z8" s="214" t="str">
        <f t="shared" si="6"/>
        <v>2Q27</v>
      </c>
      <c r="AA8" s="214" t="str">
        <f t="shared" si="6"/>
        <v>3Q27</v>
      </c>
      <c r="AB8" s="214" t="str">
        <f t="shared" si="6"/>
        <v>4Q27</v>
      </c>
      <c r="AC8" s="214" t="str">
        <f t="shared" si="6"/>
        <v>1Q28</v>
      </c>
      <c r="AD8" s="214" t="str">
        <f t="shared" si="6"/>
        <v>2Q28</v>
      </c>
      <c r="AE8" s="214" t="str">
        <f t="shared" si="6"/>
        <v>3Q28</v>
      </c>
      <c r="AF8" s="214" t="str">
        <f t="shared" si="6"/>
        <v>4Q28</v>
      </c>
      <c r="AG8" s="214" t="str">
        <f t="shared" si="6"/>
        <v>1Q29</v>
      </c>
      <c r="AH8" s="214" t="str">
        <f t="shared" si="6"/>
        <v>2Q29</v>
      </c>
      <c r="AI8" s="214" t="str">
        <f t="shared" si="6"/>
        <v>3Q29</v>
      </c>
      <c r="AJ8" s="214" t="str">
        <f t="shared" si="6"/>
        <v>4Q29</v>
      </c>
      <c r="AK8" s="214" t="str">
        <f t="shared" ref="AK8:BP8" si="7">AK$5&amp;TEXT(AK$7,"00")</f>
        <v>1Q30</v>
      </c>
      <c r="AL8" s="214" t="str">
        <f t="shared" si="7"/>
        <v>2Q30</v>
      </c>
      <c r="AM8" s="214" t="str">
        <f t="shared" si="7"/>
        <v>3Q30</v>
      </c>
      <c r="AN8" s="214" t="str">
        <f t="shared" si="7"/>
        <v>4Q30</v>
      </c>
      <c r="AO8" s="214" t="str">
        <f t="shared" si="7"/>
        <v>1Q31</v>
      </c>
      <c r="AP8" s="214" t="str">
        <f t="shared" si="7"/>
        <v>2Q31</v>
      </c>
      <c r="AQ8" s="214" t="str">
        <f t="shared" si="7"/>
        <v>3Q31</v>
      </c>
      <c r="AR8" s="214" t="str">
        <f t="shared" si="7"/>
        <v>4Q31</v>
      </c>
      <c r="AS8" s="214" t="str">
        <f t="shared" si="7"/>
        <v>1Q32</v>
      </c>
      <c r="AT8" s="214" t="str">
        <f t="shared" si="7"/>
        <v>2Q32</v>
      </c>
      <c r="AU8" s="214" t="str">
        <f t="shared" si="7"/>
        <v>3Q32</v>
      </c>
      <c r="AV8" s="214" t="str">
        <f t="shared" si="7"/>
        <v>4Q32</v>
      </c>
      <c r="AW8" s="214" t="str">
        <f t="shared" si="7"/>
        <v>1Q33</v>
      </c>
      <c r="AX8" s="214" t="str">
        <f t="shared" si="7"/>
        <v>2Q33</v>
      </c>
      <c r="AY8" s="214" t="str">
        <f t="shared" si="7"/>
        <v>3Q33</v>
      </c>
      <c r="AZ8" s="214" t="str">
        <f t="shared" si="7"/>
        <v>4Q33</v>
      </c>
      <c r="BA8" s="214" t="str">
        <f t="shared" si="7"/>
        <v>1Q34</v>
      </c>
      <c r="BB8" s="214" t="str">
        <f t="shared" si="7"/>
        <v>2Q34</v>
      </c>
      <c r="BC8" s="214" t="str">
        <f t="shared" si="7"/>
        <v>3Q34</v>
      </c>
      <c r="BD8" s="214" t="str">
        <f t="shared" si="7"/>
        <v>4Q34</v>
      </c>
      <c r="BE8" s="214" t="str">
        <f t="shared" si="7"/>
        <v>1Q35</v>
      </c>
      <c r="BF8" s="214" t="str">
        <f t="shared" si="7"/>
        <v>2Q35</v>
      </c>
      <c r="BG8" s="214" t="str">
        <f t="shared" si="7"/>
        <v>3Q35</v>
      </c>
      <c r="BH8" s="214" t="str">
        <f t="shared" si="7"/>
        <v>4Q35</v>
      </c>
      <c r="BI8" s="214" t="str">
        <f t="shared" si="7"/>
        <v>1Q36</v>
      </c>
      <c r="BJ8" s="214" t="str">
        <f t="shared" si="7"/>
        <v>2Q36</v>
      </c>
      <c r="BK8" s="214" t="str">
        <f t="shared" si="7"/>
        <v>3Q36</v>
      </c>
      <c r="BL8" s="214" t="str">
        <f t="shared" si="7"/>
        <v>4Q36</v>
      </c>
      <c r="BM8" s="214" t="str">
        <f t="shared" si="7"/>
        <v>1Q37</v>
      </c>
      <c r="BN8" s="214" t="str">
        <f t="shared" si="7"/>
        <v>2Q37</v>
      </c>
      <c r="BO8" s="214" t="str">
        <f t="shared" si="7"/>
        <v>3Q37</v>
      </c>
      <c r="BP8" s="214" t="str">
        <f t="shared" si="7"/>
        <v>4Q37</v>
      </c>
      <c r="BQ8" s="214" t="str">
        <f t="shared" ref="BQ8:CB8" si="8">BQ$5&amp;TEXT(BQ$7,"00")</f>
        <v>1Q38</v>
      </c>
      <c r="BR8" s="214" t="str">
        <f t="shared" si="8"/>
        <v>2Q38</v>
      </c>
      <c r="BS8" s="214" t="str">
        <f t="shared" si="8"/>
        <v>3Q38</v>
      </c>
      <c r="BT8" s="214" t="str">
        <f t="shared" si="8"/>
        <v>4Q38</v>
      </c>
      <c r="BU8" s="214" t="str">
        <f t="shared" si="8"/>
        <v>1Q39</v>
      </c>
      <c r="BV8" s="214" t="str">
        <f t="shared" si="8"/>
        <v>2Q39</v>
      </c>
      <c r="BW8" s="214" t="str">
        <f t="shared" si="8"/>
        <v>3Q39</v>
      </c>
      <c r="BX8" s="214" t="str">
        <f t="shared" si="8"/>
        <v>4Q39</v>
      </c>
      <c r="BY8" s="214" t="str">
        <f t="shared" si="8"/>
        <v>1Q40</v>
      </c>
      <c r="BZ8" s="214" t="str">
        <f t="shared" si="8"/>
        <v>2Q40</v>
      </c>
      <c r="CA8" s="214" t="str">
        <f t="shared" si="8"/>
        <v>3Q40</v>
      </c>
      <c r="CB8" s="214" t="str">
        <f t="shared" si="8"/>
        <v>4Q40</v>
      </c>
    </row>
    <row r="9" spans="1:80" s="205" customFormat="1" outlineLevel="1" x14ac:dyDescent="0.2">
      <c r="A9" s="206"/>
      <c r="B9" s="211" t="s">
        <v>14</v>
      </c>
      <c r="C9" s="212"/>
      <c r="D9" s="215"/>
      <c r="E9" s="214" t="str">
        <f t="shared" ref="E9:AJ9" si="9">E$6&amp;TEXT(E$7,"00")</f>
        <v>1H22</v>
      </c>
      <c r="F9" s="214" t="str">
        <f t="shared" si="9"/>
        <v>1H22</v>
      </c>
      <c r="G9" s="214" t="str">
        <f t="shared" si="9"/>
        <v>2H22</v>
      </c>
      <c r="H9" s="214" t="str">
        <f t="shared" si="9"/>
        <v>2H22</v>
      </c>
      <c r="I9" s="214" t="str">
        <f t="shared" si="9"/>
        <v>1H23</v>
      </c>
      <c r="J9" s="214" t="str">
        <f t="shared" si="9"/>
        <v>1H23</v>
      </c>
      <c r="K9" s="214" t="str">
        <f t="shared" si="9"/>
        <v>2H23</v>
      </c>
      <c r="L9" s="214" t="str">
        <f t="shared" si="9"/>
        <v>2H23</v>
      </c>
      <c r="M9" s="214" t="str">
        <f t="shared" si="9"/>
        <v>1H24</v>
      </c>
      <c r="N9" s="214" t="str">
        <f t="shared" si="9"/>
        <v>1H24</v>
      </c>
      <c r="O9" s="214" t="str">
        <f t="shared" si="9"/>
        <v>2H24</v>
      </c>
      <c r="P9" s="214" t="str">
        <f t="shared" si="9"/>
        <v>2H24</v>
      </c>
      <c r="Q9" s="214" t="str">
        <f t="shared" si="9"/>
        <v>1H25</v>
      </c>
      <c r="R9" s="214" t="str">
        <f t="shared" si="9"/>
        <v>1H25</v>
      </c>
      <c r="S9" s="214" t="str">
        <f t="shared" si="9"/>
        <v>2H25</v>
      </c>
      <c r="T9" s="214" t="str">
        <f t="shared" si="9"/>
        <v>2H25</v>
      </c>
      <c r="U9" s="214" t="str">
        <f t="shared" si="9"/>
        <v>1H26</v>
      </c>
      <c r="V9" s="214" t="str">
        <f t="shared" si="9"/>
        <v>1H26</v>
      </c>
      <c r="W9" s="214" t="str">
        <f t="shared" si="9"/>
        <v>2H26</v>
      </c>
      <c r="X9" s="214" t="str">
        <f t="shared" si="9"/>
        <v>2H26</v>
      </c>
      <c r="Y9" s="214" t="str">
        <f t="shared" si="9"/>
        <v>1H27</v>
      </c>
      <c r="Z9" s="214" t="str">
        <f t="shared" si="9"/>
        <v>1H27</v>
      </c>
      <c r="AA9" s="214" t="str">
        <f t="shared" si="9"/>
        <v>2H27</v>
      </c>
      <c r="AB9" s="214" t="str">
        <f t="shared" si="9"/>
        <v>2H27</v>
      </c>
      <c r="AC9" s="214" t="str">
        <f t="shared" si="9"/>
        <v>1H28</v>
      </c>
      <c r="AD9" s="214" t="str">
        <f t="shared" si="9"/>
        <v>1H28</v>
      </c>
      <c r="AE9" s="214" t="str">
        <f t="shared" si="9"/>
        <v>2H28</v>
      </c>
      <c r="AF9" s="214" t="str">
        <f t="shared" si="9"/>
        <v>2H28</v>
      </c>
      <c r="AG9" s="214" t="str">
        <f t="shared" si="9"/>
        <v>1H29</v>
      </c>
      <c r="AH9" s="214" t="str">
        <f t="shared" si="9"/>
        <v>1H29</v>
      </c>
      <c r="AI9" s="214" t="str">
        <f t="shared" si="9"/>
        <v>2H29</v>
      </c>
      <c r="AJ9" s="214" t="str">
        <f t="shared" si="9"/>
        <v>2H29</v>
      </c>
      <c r="AK9" s="214" t="str">
        <f t="shared" ref="AK9:BP9" si="10">AK$6&amp;TEXT(AK$7,"00")</f>
        <v>1H30</v>
      </c>
      <c r="AL9" s="214" t="str">
        <f t="shared" si="10"/>
        <v>1H30</v>
      </c>
      <c r="AM9" s="214" t="str">
        <f t="shared" si="10"/>
        <v>2H30</v>
      </c>
      <c r="AN9" s="214" t="str">
        <f t="shared" si="10"/>
        <v>2H30</v>
      </c>
      <c r="AO9" s="214" t="str">
        <f t="shared" si="10"/>
        <v>1H31</v>
      </c>
      <c r="AP9" s="214" t="str">
        <f t="shared" si="10"/>
        <v>1H31</v>
      </c>
      <c r="AQ9" s="214" t="str">
        <f t="shared" si="10"/>
        <v>2H31</v>
      </c>
      <c r="AR9" s="214" t="str">
        <f t="shared" si="10"/>
        <v>2H31</v>
      </c>
      <c r="AS9" s="214" t="str">
        <f t="shared" si="10"/>
        <v>1H32</v>
      </c>
      <c r="AT9" s="214" t="str">
        <f t="shared" si="10"/>
        <v>1H32</v>
      </c>
      <c r="AU9" s="214" t="str">
        <f t="shared" si="10"/>
        <v>2H32</v>
      </c>
      <c r="AV9" s="214" t="str">
        <f t="shared" si="10"/>
        <v>2H32</v>
      </c>
      <c r="AW9" s="214" t="str">
        <f t="shared" si="10"/>
        <v>1H33</v>
      </c>
      <c r="AX9" s="214" t="str">
        <f t="shared" si="10"/>
        <v>1H33</v>
      </c>
      <c r="AY9" s="214" t="str">
        <f t="shared" si="10"/>
        <v>2H33</v>
      </c>
      <c r="AZ9" s="214" t="str">
        <f t="shared" si="10"/>
        <v>2H33</v>
      </c>
      <c r="BA9" s="214" t="str">
        <f t="shared" si="10"/>
        <v>1H34</v>
      </c>
      <c r="BB9" s="214" t="str">
        <f t="shared" si="10"/>
        <v>1H34</v>
      </c>
      <c r="BC9" s="214" t="str">
        <f t="shared" si="10"/>
        <v>2H34</v>
      </c>
      <c r="BD9" s="214" t="str">
        <f t="shared" si="10"/>
        <v>2H34</v>
      </c>
      <c r="BE9" s="214" t="str">
        <f t="shared" si="10"/>
        <v>1H35</v>
      </c>
      <c r="BF9" s="214" t="str">
        <f t="shared" si="10"/>
        <v>1H35</v>
      </c>
      <c r="BG9" s="214" t="str">
        <f t="shared" si="10"/>
        <v>2H35</v>
      </c>
      <c r="BH9" s="214" t="str">
        <f t="shared" si="10"/>
        <v>2H35</v>
      </c>
      <c r="BI9" s="214" t="str">
        <f t="shared" si="10"/>
        <v>1H36</v>
      </c>
      <c r="BJ9" s="214" t="str">
        <f t="shared" si="10"/>
        <v>1H36</v>
      </c>
      <c r="BK9" s="214" t="str">
        <f t="shared" si="10"/>
        <v>2H36</v>
      </c>
      <c r="BL9" s="214" t="str">
        <f t="shared" si="10"/>
        <v>2H36</v>
      </c>
      <c r="BM9" s="214" t="str">
        <f t="shared" si="10"/>
        <v>1H37</v>
      </c>
      <c r="BN9" s="214" t="str">
        <f t="shared" si="10"/>
        <v>1H37</v>
      </c>
      <c r="BO9" s="214" t="str">
        <f t="shared" si="10"/>
        <v>2H37</v>
      </c>
      <c r="BP9" s="214" t="str">
        <f t="shared" si="10"/>
        <v>2H37</v>
      </c>
      <c r="BQ9" s="214" t="str">
        <f t="shared" ref="BQ9:CB9" si="11">BQ$6&amp;TEXT(BQ$7,"00")</f>
        <v>1H38</v>
      </c>
      <c r="BR9" s="214" t="str">
        <f t="shared" si="11"/>
        <v>1H38</v>
      </c>
      <c r="BS9" s="214" t="str">
        <f t="shared" si="11"/>
        <v>2H38</v>
      </c>
      <c r="BT9" s="214" t="str">
        <f t="shared" si="11"/>
        <v>2H38</v>
      </c>
      <c r="BU9" s="214" t="str">
        <f t="shared" si="11"/>
        <v>1H39</v>
      </c>
      <c r="BV9" s="214" t="str">
        <f t="shared" si="11"/>
        <v>1H39</v>
      </c>
      <c r="BW9" s="214" t="str">
        <f t="shared" si="11"/>
        <v>2H39</v>
      </c>
      <c r="BX9" s="214" t="str">
        <f t="shared" si="11"/>
        <v>2H39</v>
      </c>
      <c r="BY9" s="214" t="str">
        <f t="shared" si="11"/>
        <v>1H40</v>
      </c>
      <c r="BZ9" s="214" t="str">
        <f t="shared" si="11"/>
        <v>1H40</v>
      </c>
      <c r="CA9" s="214" t="str">
        <f t="shared" si="11"/>
        <v>2H40</v>
      </c>
      <c r="CB9" s="214" t="str">
        <f t="shared" si="11"/>
        <v>2H40</v>
      </c>
    </row>
    <row r="10" spans="1:80" s="205" customFormat="1" outlineLevel="1" x14ac:dyDescent="0.2">
      <c r="A10" s="206"/>
      <c r="B10" s="211" t="s">
        <v>13</v>
      </c>
      <c r="C10" s="212"/>
      <c r="D10" s="215"/>
      <c r="E10" s="214" t="str">
        <f t="shared" ref="E10:AJ10" si="12">"FY"&amp;E7</f>
        <v>FY22</v>
      </c>
      <c r="F10" s="214" t="str">
        <f t="shared" si="12"/>
        <v>FY22</v>
      </c>
      <c r="G10" s="214" t="str">
        <f t="shared" si="12"/>
        <v>FY22</v>
      </c>
      <c r="H10" s="214" t="str">
        <f t="shared" si="12"/>
        <v>FY22</v>
      </c>
      <c r="I10" s="214" t="str">
        <f t="shared" si="12"/>
        <v>FY23</v>
      </c>
      <c r="J10" s="214" t="str">
        <f t="shared" si="12"/>
        <v>FY23</v>
      </c>
      <c r="K10" s="214" t="str">
        <f t="shared" si="12"/>
        <v>FY23</v>
      </c>
      <c r="L10" s="214" t="str">
        <f t="shared" si="12"/>
        <v>FY23</v>
      </c>
      <c r="M10" s="214" t="str">
        <f t="shared" si="12"/>
        <v>FY24</v>
      </c>
      <c r="N10" s="214" t="str">
        <f t="shared" si="12"/>
        <v>FY24</v>
      </c>
      <c r="O10" s="214" t="str">
        <f t="shared" si="12"/>
        <v>FY24</v>
      </c>
      <c r="P10" s="214" t="str">
        <f t="shared" si="12"/>
        <v>FY24</v>
      </c>
      <c r="Q10" s="214" t="str">
        <f t="shared" si="12"/>
        <v>FY25</v>
      </c>
      <c r="R10" s="214" t="str">
        <f t="shared" si="12"/>
        <v>FY25</v>
      </c>
      <c r="S10" s="214" t="str">
        <f t="shared" si="12"/>
        <v>FY25</v>
      </c>
      <c r="T10" s="214" t="str">
        <f t="shared" si="12"/>
        <v>FY25</v>
      </c>
      <c r="U10" s="214" t="str">
        <f t="shared" si="12"/>
        <v>FY26</v>
      </c>
      <c r="V10" s="214" t="str">
        <f t="shared" si="12"/>
        <v>FY26</v>
      </c>
      <c r="W10" s="214" t="str">
        <f t="shared" si="12"/>
        <v>FY26</v>
      </c>
      <c r="X10" s="214" t="str">
        <f t="shared" si="12"/>
        <v>FY26</v>
      </c>
      <c r="Y10" s="214" t="str">
        <f t="shared" si="12"/>
        <v>FY27</v>
      </c>
      <c r="Z10" s="214" t="str">
        <f t="shared" si="12"/>
        <v>FY27</v>
      </c>
      <c r="AA10" s="214" t="str">
        <f t="shared" si="12"/>
        <v>FY27</v>
      </c>
      <c r="AB10" s="214" t="str">
        <f t="shared" si="12"/>
        <v>FY27</v>
      </c>
      <c r="AC10" s="214" t="str">
        <f t="shared" si="12"/>
        <v>FY28</v>
      </c>
      <c r="AD10" s="214" t="str">
        <f t="shared" si="12"/>
        <v>FY28</v>
      </c>
      <c r="AE10" s="214" t="str">
        <f t="shared" si="12"/>
        <v>FY28</v>
      </c>
      <c r="AF10" s="214" t="str">
        <f t="shared" si="12"/>
        <v>FY28</v>
      </c>
      <c r="AG10" s="214" t="str">
        <f t="shared" si="12"/>
        <v>FY29</v>
      </c>
      <c r="AH10" s="214" t="str">
        <f t="shared" si="12"/>
        <v>FY29</v>
      </c>
      <c r="AI10" s="214" t="str">
        <f t="shared" si="12"/>
        <v>FY29</v>
      </c>
      <c r="AJ10" s="214" t="str">
        <f t="shared" si="12"/>
        <v>FY29</v>
      </c>
      <c r="AK10" s="214" t="str">
        <f t="shared" ref="AK10:BP10" si="13">"FY"&amp;AK7</f>
        <v>FY30</v>
      </c>
      <c r="AL10" s="214" t="str">
        <f t="shared" si="13"/>
        <v>FY30</v>
      </c>
      <c r="AM10" s="214" t="str">
        <f t="shared" si="13"/>
        <v>FY30</v>
      </c>
      <c r="AN10" s="214" t="str">
        <f t="shared" si="13"/>
        <v>FY30</v>
      </c>
      <c r="AO10" s="214" t="str">
        <f t="shared" si="13"/>
        <v>FY31</v>
      </c>
      <c r="AP10" s="214" t="str">
        <f t="shared" si="13"/>
        <v>FY31</v>
      </c>
      <c r="AQ10" s="214" t="str">
        <f t="shared" si="13"/>
        <v>FY31</v>
      </c>
      <c r="AR10" s="214" t="str">
        <f t="shared" si="13"/>
        <v>FY31</v>
      </c>
      <c r="AS10" s="214" t="str">
        <f t="shared" si="13"/>
        <v>FY32</v>
      </c>
      <c r="AT10" s="214" t="str">
        <f t="shared" si="13"/>
        <v>FY32</v>
      </c>
      <c r="AU10" s="214" t="str">
        <f t="shared" si="13"/>
        <v>FY32</v>
      </c>
      <c r="AV10" s="214" t="str">
        <f t="shared" si="13"/>
        <v>FY32</v>
      </c>
      <c r="AW10" s="214" t="str">
        <f t="shared" si="13"/>
        <v>FY33</v>
      </c>
      <c r="AX10" s="214" t="str">
        <f t="shared" si="13"/>
        <v>FY33</v>
      </c>
      <c r="AY10" s="214" t="str">
        <f t="shared" si="13"/>
        <v>FY33</v>
      </c>
      <c r="AZ10" s="214" t="str">
        <f t="shared" si="13"/>
        <v>FY33</v>
      </c>
      <c r="BA10" s="214" t="str">
        <f t="shared" si="13"/>
        <v>FY34</v>
      </c>
      <c r="BB10" s="214" t="str">
        <f t="shared" si="13"/>
        <v>FY34</v>
      </c>
      <c r="BC10" s="214" t="str">
        <f t="shared" si="13"/>
        <v>FY34</v>
      </c>
      <c r="BD10" s="214" t="str">
        <f t="shared" si="13"/>
        <v>FY34</v>
      </c>
      <c r="BE10" s="214" t="str">
        <f t="shared" si="13"/>
        <v>FY35</v>
      </c>
      <c r="BF10" s="214" t="str">
        <f t="shared" si="13"/>
        <v>FY35</v>
      </c>
      <c r="BG10" s="214" t="str">
        <f t="shared" si="13"/>
        <v>FY35</v>
      </c>
      <c r="BH10" s="214" t="str">
        <f t="shared" si="13"/>
        <v>FY35</v>
      </c>
      <c r="BI10" s="214" t="str">
        <f t="shared" si="13"/>
        <v>FY36</v>
      </c>
      <c r="BJ10" s="214" t="str">
        <f t="shared" si="13"/>
        <v>FY36</v>
      </c>
      <c r="BK10" s="214" t="str">
        <f t="shared" si="13"/>
        <v>FY36</v>
      </c>
      <c r="BL10" s="214" t="str">
        <f t="shared" si="13"/>
        <v>FY36</v>
      </c>
      <c r="BM10" s="214" t="str">
        <f t="shared" si="13"/>
        <v>FY37</v>
      </c>
      <c r="BN10" s="214" t="str">
        <f t="shared" si="13"/>
        <v>FY37</v>
      </c>
      <c r="BO10" s="214" t="str">
        <f t="shared" si="13"/>
        <v>FY37</v>
      </c>
      <c r="BP10" s="214" t="str">
        <f t="shared" si="13"/>
        <v>FY37</v>
      </c>
      <c r="BQ10" s="214" t="str">
        <f t="shared" ref="BQ10:CB10" si="14">"FY"&amp;BQ7</f>
        <v>FY38</v>
      </c>
      <c r="BR10" s="214" t="str">
        <f t="shared" si="14"/>
        <v>FY38</v>
      </c>
      <c r="BS10" s="214" t="str">
        <f t="shared" si="14"/>
        <v>FY38</v>
      </c>
      <c r="BT10" s="214" t="str">
        <f t="shared" si="14"/>
        <v>FY38</v>
      </c>
      <c r="BU10" s="214" t="str">
        <f t="shared" si="14"/>
        <v>FY39</v>
      </c>
      <c r="BV10" s="214" t="str">
        <f t="shared" si="14"/>
        <v>FY39</v>
      </c>
      <c r="BW10" s="214" t="str">
        <f t="shared" si="14"/>
        <v>FY39</v>
      </c>
      <c r="BX10" s="214" t="str">
        <f t="shared" si="14"/>
        <v>FY39</v>
      </c>
      <c r="BY10" s="214" t="str">
        <f t="shared" si="14"/>
        <v>FY40</v>
      </c>
      <c r="BZ10" s="214" t="str">
        <f t="shared" si="14"/>
        <v>FY40</v>
      </c>
      <c r="CA10" s="214" t="str">
        <f t="shared" si="14"/>
        <v>FY40</v>
      </c>
      <c r="CB10" s="214" t="str">
        <f t="shared" si="14"/>
        <v>FY40</v>
      </c>
    </row>
    <row r="11" spans="1:80" s="216" customFormat="1" outlineLevel="1" x14ac:dyDescent="0.2">
      <c r="B11" s="211" t="s">
        <v>15</v>
      </c>
      <c r="C11" s="217"/>
      <c r="E11" s="214">
        <f t="shared" ref="E11:AJ11" si="15">YEAR(E3)</f>
        <v>2021</v>
      </c>
      <c r="F11" s="214">
        <f t="shared" si="15"/>
        <v>2021</v>
      </c>
      <c r="G11" s="214">
        <f t="shared" si="15"/>
        <v>2022</v>
      </c>
      <c r="H11" s="214">
        <f t="shared" si="15"/>
        <v>2022</v>
      </c>
      <c r="I11" s="214">
        <f t="shared" si="15"/>
        <v>2022</v>
      </c>
      <c r="J11" s="214">
        <f t="shared" si="15"/>
        <v>2022</v>
      </c>
      <c r="K11" s="214">
        <f t="shared" si="15"/>
        <v>2023</v>
      </c>
      <c r="L11" s="214">
        <f t="shared" si="15"/>
        <v>2023</v>
      </c>
      <c r="M11" s="214">
        <f t="shared" si="15"/>
        <v>2023</v>
      </c>
      <c r="N11" s="214">
        <f t="shared" si="15"/>
        <v>2023</v>
      </c>
      <c r="O11" s="214">
        <f t="shared" si="15"/>
        <v>2024</v>
      </c>
      <c r="P11" s="214">
        <f t="shared" si="15"/>
        <v>2024</v>
      </c>
      <c r="Q11" s="214">
        <f t="shared" si="15"/>
        <v>2024</v>
      </c>
      <c r="R11" s="214">
        <f t="shared" si="15"/>
        <v>2024</v>
      </c>
      <c r="S11" s="214">
        <f t="shared" si="15"/>
        <v>2025</v>
      </c>
      <c r="T11" s="214">
        <f t="shared" si="15"/>
        <v>2025</v>
      </c>
      <c r="U11" s="214">
        <f t="shared" si="15"/>
        <v>2025</v>
      </c>
      <c r="V11" s="214">
        <f t="shared" si="15"/>
        <v>2025</v>
      </c>
      <c r="W11" s="214">
        <f t="shared" si="15"/>
        <v>2026</v>
      </c>
      <c r="X11" s="214">
        <f t="shared" si="15"/>
        <v>2026</v>
      </c>
      <c r="Y11" s="214">
        <f t="shared" si="15"/>
        <v>2026</v>
      </c>
      <c r="Z11" s="214">
        <f t="shared" si="15"/>
        <v>2026</v>
      </c>
      <c r="AA11" s="214">
        <f t="shared" si="15"/>
        <v>2027</v>
      </c>
      <c r="AB11" s="214">
        <f t="shared" si="15"/>
        <v>2027</v>
      </c>
      <c r="AC11" s="214">
        <f t="shared" si="15"/>
        <v>2027</v>
      </c>
      <c r="AD11" s="214">
        <f t="shared" si="15"/>
        <v>2027</v>
      </c>
      <c r="AE11" s="214">
        <f t="shared" si="15"/>
        <v>2028</v>
      </c>
      <c r="AF11" s="214">
        <f t="shared" si="15"/>
        <v>2028</v>
      </c>
      <c r="AG11" s="214">
        <f t="shared" si="15"/>
        <v>2028</v>
      </c>
      <c r="AH11" s="214">
        <f t="shared" si="15"/>
        <v>2028</v>
      </c>
      <c r="AI11" s="214">
        <f t="shared" si="15"/>
        <v>2029</v>
      </c>
      <c r="AJ11" s="214">
        <f t="shared" si="15"/>
        <v>2029</v>
      </c>
      <c r="AK11" s="214">
        <f t="shared" ref="AK11:BP11" si="16">YEAR(AK3)</f>
        <v>2029</v>
      </c>
      <c r="AL11" s="214">
        <f t="shared" si="16"/>
        <v>2029</v>
      </c>
      <c r="AM11" s="214">
        <f t="shared" si="16"/>
        <v>2030</v>
      </c>
      <c r="AN11" s="214">
        <f t="shared" si="16"/>
        <v>2030</v>
      </c>
      <c r="AO11" s="214">
        <f t="shared" si="16"/>
        <v>2030</v>
      </c>
      <c r="AP11" s="214">
        <f t="shared" si="16"/>
        <v>2030</v>
      </c>
      <c r="AQ11" s="214">
        <f t="shared" si="16"/>
        <v>2031</v>
      </c>
      <c r="AR11" s="214">
        <f t="shared" si="16"/>
        <v>2031</v>
      </c>
      <c r="AS11" s="214">
        <f t="shared" si="16"/>
        <v>2031</v>
      </c>
      <c r="AT11" s="214">
        <f t="shared" si="16"/>
        <v>2031</v>
      </c>
      <c r="AU11" s="214">
        <f t="shared" si="16"/>
        <v>2032</v>
      </c>
      <c r="AV11" s="214">
        <f t="shared" si="16"/>
        <v>2032</v>
      </c>
      <c r="AW11" s="214">
        <f t="shared" si="16"/>
        <v>2032</v>
      </c>
      <c r="AX11" s="214">
        <f t="shared" si="16"/>
        <v>2032</v>
      </c>
      <c r="AY11" s="214">
        <f t="shared" si="16"/>
        <v>2033</v>
      </c>
      <c r="AZ11" s="214">
        <f t="shared" si="16"/>
        <v>2033</v>
      </c>
      <c r="BA11" s="214">
        <f t="shared" si="16"/>
        <v>2033</v>
      </c>
      <c r="BB11" s="214">
        <f t="shared" si="16"/>
        <v>2033</v>
      </c>
      <c r="BC11" s="214">
        <f t="shared" si="16"/>
        <v>2034</v>
      </c>
      <c r="BD11" s="214">
        <f t="shared" si="16"/>
        <v>2034</v>
      </c>
      <c r="BE11" s="214">
        <f t="shared" si="16"/>
        <v>2034</v>
      </c>
      <c r="BF11" s="214">
        <f t="shared" si="16"/>
        <v>2034</v>
      </c>
      <c r="BG11" s="214">
        <f t="shared" si="16"/>
        <v>2035</v>
      </c>
      <c r="BH11" s="214">
        <f t="shared" si="16"/>
        <v>2035</v>
      </c>
      <c r="BI11" s="214">
        <f t="shared" si="16"/>
        <v>2035</v>
      </c>
      <c r="BJ11" s="214">
        <f t="shared" si="16"/>
        <v>2035</v>
      </c>
      <c r="BK11" s="214">
        <f t="shared" si="16"/>
        <v>2036</v>
      </c>
      <c r="BL11" s="214">
        <f t="shared" si="16"/>
        <v>2036</v>
      </c>
      <c r="BM11" s="214">
        <f t="shared" si="16"/>
        <v>2036</v>
      </c>
      <c r="BN11" s="214">
        <f t="shared" si="16"/>
        <v>2036</v>
      </c>
      <c r="BO11" s="214">
        <f t="shared" si="16"/>
        <v>2037</v>
      </c>
      <c r="BP11" s="214">
        <f t="shared" si="16"/>
        <v>2037</v>
      </c>
      <c r="BQ11" s="214">
        <f t="shared" ref="BQ11:CB11" si="17">YEAR(BQ3)</f>
        <v>2037</v>
      </c>
      <c r="BR11" s="214">
        <f t="shared" si="17"/>
        <v>2037</v>
      </c>
      <c r="BS11" s="214">
        <f t="shared" si="17"/>
        <v>2038</v>
      </c>
      <c r="BT11" s="214">
        <f t="shared" si="17"/>
        <v>2038</v>
      </c>
      <c r="BU11" s="214">
        <f t="shared" si="17"/>
        <v>2038</v>
      </c>
      <c r="BV11" s="214">
        <f t="shared" si="17"/>
        <v>2038</v>
      </c>
      <c r="BW11" s="214">
        <f t="shared" si="17"/>
        <v>2039</v>
      </c>
      <c r="BX11" s="214">
        <f t="shared" si="17"/>
        <v>2039</v>
      </c>
      <c r="BY11" s="214">
        <f t="shared" si="17"/>
        <v>2039</v>
      </c>
      <c r="BZ11" s="214">
        <f t="shared" si="17"/>
        <v>2039</v>
      </c>
      <c r="CA11" s="214">
        <f t="shared" si="17"/>
        <v>2040</v>
      </c>
      <c r="CB11" s="214">
        <f t="shared" si="17"/>
        <v>2040</v>
      </c>
    </row>
    <row r="12" spans="1:80" outlineLevel="1" x14ac:dyDescent="0.2">
      <c r="B12" s="219" t="s">
        <v>16</v>
      </c>
      <c r="E12" s="217" t="str">
        <f t="shared" ref="E12:AJ12" si="18">E17</f>
        <v>A</v>
      </c>
      <c r="F12" s="217" t="str">
        <f t="shared" si="18"/>
        <v>A</v>
      </c>
      <c r="G12" s="217" t="str">
        <f t="shared" si="18"/>
        <v>A</v>
      </c>
      <c r="H12" s="217" t="str">
        <f t="shared" si="18"/>
        <v>A</v>
      </c>
      <c r="I12" s="217" t="str">
        <f t="shared" si="18"/>
        <v>A</v>
      </c>
      <c r="J12" s="217" t="str">
        <f t="shared" si="18"/>
        <v>A</v>
      </c>
      <c r="K12" s="217" t="str">
        <f t="shared" si="18"/>
        <v>A</v>
      </c>
      <c r="L12" s="217" t="str">
        <f t="shared" si="18"/>
        <v>A</v>
      </c>
      <c r="M12" s="217" t="str">
        <f t="shared" si="18"/>
        <v>A</v>
      </c>
      <c r="N12" s="217" t="str">
        <f t="shared" si="18"/>
        <v>A</v>
      </c>
      <c r="O12" s="217" t="str">
        <f t="shared" si="18"/>
        <v>A</v>
      </c>
      <c r="P12" s="217" t="str">
        <f t="shared" si="18"/>
        <v>A</v>
      </c>
      <c r="Q12" s="217" t="str">
        <f t="shared" si="18"/>
        <v>A</v>
      </c>
      <c r="R12" s="217" t="str">
        <f t="shared" si="18"/>
        <v>A</v>
      </c>
      <c r="S12" s="217" t="str">
        <f t="shared" si="18"/>
        <v>A</v>
      </c>
      <c r="T12" s="217" t="str">
        <f t="shared" si="18"/>
        <v>A</v>
      </c>
      <c r="U12" s="217" t="str">
        <f t="shared" si="18"/>
        <v>A</v>
      </c>
      <c r="V12" s="217" t="str">
        <f t="shared" si="18"/>
        <v>A</v>
      </c>
      <c r="W12" s="217" t="str">
        <f t="shared" si="18"/>
        <v>E</v>
      </c>
      <c r="X12" s="217" t="str">
        <f t="shared" si="18"/>
        <v>E</v>
      </c>
      <c r="Y12" s="217" t="str">
        <f t="shared" si="18"/>
        <v>E</v>
      </c>
      <c r="Z12" s="217" t="str">
        <f t="shared" si="18"/>
        <v>E</v>
      </c>
      <c r="AA12" s="217" t="str">
        <f t="shared" si="18"/>
        <v>E</v>
      </c>
      <c r="AB12" s="217" t="str">
        <f t="shared" si="18"/>
        <v>E</v>
      </c>
      <c r="AC12" s="217" t="str">
        <f t="shared" si="18"/>
        <v>E</v>
      </c>
      <c r="AD12" s="217" t="str">
        <f t="shared" si="18"/>
        <v>E</v>
      </c>
      <c r="AE12" s="217" t="str">
        <f t="shared" si="18"/>
        <v>E</v>
      </c>
      <c r="AF12" s="217" t="str">
        <f t="shared" si="18"/>
        <v>E</v>
      </c>
      <c r="AG12" s="217" t="str">
        <f t="shared" si="18"/>
        <v>E</v>
      </c>
      <c r="AH12" s="217" t="str">
        <f t="shared" si="18"/>
        <v>E</v>
      </c>
      <c r="AI12" s="217" t="str">
        <f t="shared" si="18"/>
        <v>E</v>
      </c>
      <c r="AJ12" s="217" t="str">
        <f t="shared" si="18"/>
        <v>E</v>
      </c>
      <c r="AK12" s="217" t="str">
        <f t="shared" ref="AK12:BP12" si="19">AK17</f>
        <v>E</v>
      </c>
      <c r="AL12" s="217" t="str">
        <f t="shared" si="19"/>
        <v>E</v>
      </c>
      <c r="AM12" s="217" t="str">
        <f t="shared" si="19"/>
        <v>E</v>
      </c>
      <c r="AN12" s="217" t="str">
        <f t="shared" si="19"/>
        <v>E</v>
      </c>
      <c r="AO12" s="217" t="str">
        <f t="shared" si="19"/>
        <v>E</v>
      </c>
      <c r="AP12" s="217" t="str">
        <f t="shared" si="19"/>
        <v>E</v>
      </c>
      <c r="AQ12" s="217" t="str">
        <f t="shared" si="19"/>
        <v>E</v>
      </c>
      <c r="AR12" s="217" t="str">
        <f t="shared" si="19"/>
        <v>E</v>
      </c>
      <c r="AS12" s="217" t="str">
        <f t="shared" si="19"/>
        <v>E</v>
      </c>
      <c r="AT12" s="217" t="str">
        <f t="shared" si="19"/>
        <v>E</v>
      </c>
      <c r="AU12" s="217" t="str">
        <f t="shared" si="19"/>
        <v>E</v>
      </c>
      <c r="AV12" s="217" t="str">
        <f t="shared" si="19"/>
        <v>E</v>
      </c>
      <c r="AW12" s="217" t="str">
        <f t="shared" si="19"/>
        <v>E</v>
      </c>
      <c r="AX12" s="217" t="str">
        <f t="shared" si="19"/>
        <v>E</v>
      </c>
      <c r="AY12" s="217" t="str">
        <f t="shared" si="19"/>
        <v>E</v>
      </c>
      <c r="AZ12" s="217" t="str">
        <f t="shared" si="19"/>
        <v>E</v>
      </c>
      <c r="BA12" s="217" t="str">
        <f t="shared" si="19"/>
        <v>E</v>
      </c>
      <c r="BB12" s="217" t="str">
        <f t="shared" si="19"/>
        <v>E</v>
      </c>
      <c r="BC12" s="217" t="str">
        <f t="shared" si="19"/>
        <v>E</v>
      </c>
      <c r="BD12" s="217" t="str">
        <f t="shared" si="19"/>
        <v>E</v>
      </c>
      <c r="BE12" s="217" t="str">
        <f t="shared" si="19"/>
        <v>E</v>
      </c>
      <c r="BF12" s="217" t="str">
        <f t="shared" si="19"/>
        <v>E</v>
      </c>
      <c r="BG12" s="217" t="str">
        <f t="shared" si="19"/>
        <v>E</v>
      </c>
      <c r="BH12" s="217" t="str">
        <f t="shared" si="19"/>
        <v>E</v>
      </c>
      <c r="BI12" s="217" t="str">
        <f t="shared" si="19"/>
        <v>E</v>
      </c>
      <c r="BJ12" s="217" t="str">
        <f t="shared" si="19"/>
        <v>E</v>
      </c>
      <c r="BK12" s="217" t="str">
        <f t="shared" si="19"/>
        <v>E</v>
      </c>
      <c r="BL12" s="217" t="str">
        <f t="shared" si="19"/>
        <v>E</v>
      </c>
      <c r="BM12" s="217" t="str">
        <f t="shared" si="19"/>
        <v>E</v>
      </c>
      <c r="BN12" s="217" t="str">
        <f t="shared" si="19"/>
        <v>E</v>
      </c>
      <c r="BO12" s="217" t="str">
        <f t="shared" si="19"/>
        <v>E</v>
      </c>
      <c r="BP12" s="217" t="str">
        <f t="shared" si="19"/>
        <v>E</v>
      </c>
      <c r="BQ12" s="217" t="str">
        <f t="shared" ref="BQ12:CB12" si="20">BQ17</f>
        <v>E</v>
      </c>
      <c r="BR12" s="217" t="str">
        <f t="shared" si="20"/>
        <v>E</v>
      </c>
      <c r="BS12" s="217" t="str">
        <f t="shared" si="20"/>
        <v>E</v>
      </c>
      <c r="BT12" s="217" t="str">
        <f t="shared" si="20"/>
        <v>E</v>
      </c>
      <c r="BU12" s="217" t="str">
        <f t="shared" si="20"/>
        <v>E</v>
      </c>
      <c r="BV12" s="217" t="str">
        <f t="shared" si="20"/>
        <v>E</v>
      </c>
      <c r="BW12" s="217" t="str">
        <f t="shared" si="20"/>
        <v>E</v>
      </c>
      <c r="BX12" s="217" t="str">
        <f t="shared" si="20"/>
        <v>E</v>
      </c>
      <c r="BY12" s="217" t="str">
        <f t="shared" si="20"/>
        <v>E</v>
      </c>
      <c r="BZ12" s="217" t="str">
        <f t="shared" si="20"/>
        <v>E</v>
      </c>
      <c r="CA12" s="217" t="str">
        <f t="shared" si="20"/>
        <v>E</v>
      </c>
      <c r="CB12" s="217" t="str">
        <f t="shared" si="20"/>
        <v>E</v>
      </c>
    </row>
    <row r="13" spans="1:80" s="221" customFormat="1" outlineLevel="1" x14ac:dyDescent="0.2">
      <c r="A13" s="218"/>
      <c r="B13" s="219" t="s">
        <v>17</v>
      </c>
      <c r="C13" s="205"/>
      <c r="D13" s="218"/>
      <c r="E13" s="220">
        <v>92</v>
      </c>
      <c r="F13" s="205">
        <f t="shared" ref="F13:AK13" si="21">F3-E3</f>
        <v>92</v>
      </c>
      <c r="G13" s="205">
        <f t="shared" si="21"/>
        <v>90</v>
      </c>
      <c r="H13" s="205">
        <f t="shared" si="21"/>
        <v>91</v>
      </c>
      <c r="I13" s="205">
        <f t="shared" si="21"/>
        <v>92</v>
      </c>
      <c r="J13" s="205">
        <f t="shared" si="21"/>
        <v>92</v>
      </c>
      <c r="K13" s="205">
        <f t="shared" si="21"/>
        <v>90</v>
      </c>
      <c r="L13" s="205">
        <f t="shared" si="21"/>
        <v>91</v>
      </c>
      <c r="M13" s="205">
        <f t="shared" si="21"/>
        <v>92</v>
      </c>
      <c r="N13" s="205">
        <f t="shared" si="21"/>
        <v>92</v>
      </c>
      <c r="O13" s="205">
        <f t="shared" si="21"/>
        <v>91</v>
      </c>
      <c r="P13" s="205">
        <f t="shared" si="21"/>
        <v>91</v>
      </c>
      <c r="Q13" s="205">
        <f t="shared" si="21"/>
        <v>92</v>
      </c>
      <c r="R13" s="205">
        <f t="shared" si="21"/>
        <v>92</v>
      </c>
      <c r="S13" s="205">
        <f t="shared" si="21"/>
        <v>90</v>
      </c>
      <c r="T13" s="205">
        <f t="shared" si="21"/>
        <v>91</v>
      </c>
      <c r="U13" s="205">
        <f t="shared" si="21"/>
        <v>92</v>
      </c>
      <c r="V13" s="205">
        <f t="shared" si="21"/>
        <v>92</v>
      </c>
      <c r="W13" s="205">
        <f t="shared" si="21"/>
        <v>90</v>
      </c>
      <c r="X13" s="205">
        <f t="shared" si="21"/>
        <v>91</v>
      </c>
      <c r="Y13" s="205">
        <f t="shared" si="21"/>
        <v>92</v>
      </c>
      <c r="Z13" s="205">
        <f t="shared" si="21"/>
        <v>92</v>
      </c>
      <c r="AA13" s="205">
        <f t="shared" si="21"/>
        <v>90</v>
      </c>
      <c r="AB13" s="205">
        <f t="shared" si="21"/>
        <v>91</v>
      </c>
      <c r="AC13" s="205">
        <f t="shared" si="21"/>
        <v>92</v>
      </c>
      <c r="AD13" s="205">
        <f t="shared" si="21"/>
        <v>92</v>
      </c>
      <c r="AE13" s="205">
        <f t="shared" si="21"/>
        <v>91</v>
      </c>
      <c r="AF13" s="205">
        <f t="shared" si="21"/>
        <v>91</v>
      </c>
      <c r="AG13" s="205">
        <f t="shared" si="21"/>
        <v>92</v>
      </c>
      <c r="AH13" s="205">
        <f t="shared" si="21"/>
        <v>92</v>
      </c>
      <c r="AI13" s="205">
        <f t="shared" si="21"/>
        <v>90</v>
      </c>
      <c r="AJ13" s="205">
        <f t="shared" si="21"/>
        <v>91</v>
      </c>
      <c r="AK13" s="205">
        <f t="shared" si="21"/>
        <v>92</v>
      </c>
      <c r="AL13" s="205">
        <f t="shared" ref="AL13:BQ13" si="22">AL3-AK3</f>
        <v>92</v>
      </c>
      <c r="AM13" s="205">
        <f t="shared" si="22"/>
        <v>90</v>
      </c>
      <c r="AN13" s="205">
        <f t="shared" si="22"/>
        <v>91</v>
      </c>
      <c r="AO13" s="205">
        <f t="shared" si="22"/>
        <v>92</v>
      </c>
      <c r="AP13" s="205">
        <f t="shared" si="22"/>
        <v>92</v>
      </c>
      <c r="AQ13" s="205">
        <f t="shared" si="22"/>
        <v>90</v>
      </c>
      <c r="AR13" s="205">
        <f t="shared" si="22"/>
        <v>91</v>
      </c>
      <c r="AS13" s="205">
        <f t="shared" si="22"/>
        <v>92</v>
      </c>
      <c r="AT13" s="205">
        <f t="shared" si="22"/>
        <v>92</v>
      </c>
      <c r="AU13" s="205">
        <f t="shared" si="22"/>
        <v>91</v>
      </c>
      <c r="AV13" s="205">
        <f t="shared" si="22"/>
        <v>91</v>
      </c>
      <c r="AW13" s="205">
        <f t="shared" si="22"/>
        <v>92</v>
      </c>
      <c r="AX13" s="205">
        <f t="shared" si="22"/>
        <v>92</v>
      </c>
      <c r="AY13" s="205">
        <f t="shared" si="22"/>
        <v>90</v>
      </c>
      <c r="AZ13" s="205">
        <f t="shared" si="22"/>
        <v>91</v>
      </c>
      <c r="BA13" s="205">
        <f t="shared" si="22"/>
        <v>92</v>
      </c>
      <c r="BB13" s="205">
        <f t="shared" si="22"/>
        <v>92</v>
      </c>
      <c r="BC13" s="205">
        <f t="shared" si="22"/>
        <v>90</v>
      </c>
      <c r="BD13" s="205">
        <f t="shared" si="22"/>
        <v>91</v>
      </c>
      <c r="BE13" s="205">
        <f t="shared" si="22"/>
        <v>92</v>
      </c>
      <c r="BF13" s="205">
        <f t="shared" si="22"/>
        <v>92</v>
      </c>
      <c r="BG13" s="205">
        <f t="shared" si="22"/>
        <v>90</v>
      </c>
      <c r="BH13" s="205">
        <f t="shared" si="22"/>
        <v>91</v>
      </c>
      <c r="BI13" s="205">
        <f t="shared" si="22"/>
        <v>92</v>
      </c>
      <c r="BJ13" s="205">
        <f t="shared" si="22"/>
        <v>92</v>
      </c>
      <c r="BK13" s="205">
        <f t="shared" si="22"/>
        <v>91</v>
      </c>
      <c r="BL13" s="205">
        <f t="shared" si="22"/>
        <v>91</v>
      </c>
      <c r="BM13" s="205">
        <f t="shared" si="22"/>
        <v>92</v>
      </c>
      <c r="BN13" s="205">
        <f t="shared" si="22"/>
        <v>92</v>
      </c>
      <c r="BO13" s="205">
        <f t="shared" si="22"/>
        <v>90</v>
      </c>
      <c r="BP13" s="205">
        <f t="shared" si="22"/>
        <v>91</v>
      </c>
      <c r="BQ13" s="205">
        <f t="shared" si="22"/>
        <v>92</v>
      </c>
      <c r="BR13" s="205">
        <f t="shared" ref="BR13:CB13" si="23">BR3-BQ3</f>
        <v>92</v>
      </c>
      <c r="BS13" s="205">
        <f t="shared" si="23"/>
        <v>90</v>
      </c>
      <c r="BT13" s="205">
        <f t="shared" si="23"/>
        <v>91</v>
      </c>
      <c r="BU13" s="205">
        <f t="shared" si="23"/>
        <v>92</v>
      </c>
      <c r="BV13" s="205">
        <f t="shared" si="23"/>
        <v>92</v>
      </c>
      <c r="BW13" s="205">
        <f t="shared" si="23"/>
        <v>90</v>
      </c>
      <c r="BX13" s="205">
        <f t="shared" si="23"/>
        <v>91</v>
      </c>
      <c r="BY13" s="205">
        <f t="shared" si="23"/>
        <v>92</v>
      </c>
      <c r="BZ13" s="205">
        <f t="shared" si="23"/>
        <v>92</v>
      </c>
      <c r="CA13" s="205">
        <f t="shared" si="23"/>
        <v>91</v>
      </c>
      <c r="CB13" s="205">
        <f t="shared" si="23"/>
        <v>91</v>
      </c>
    </row>
    <row r="15" spans="1:80" x14ac:dyDescent="0.2">
      <c r="A15" s="222" t="s">
        <v>7</v>
      </c>
      <c r="B15" s="223" t="s">
        <v>18</v>
      </c>
      <c r="C15" s="224"/>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row>
    <row r="16" spans="1:80" x14ac:dyDescent="0.2">
      <c r="C16" s="227"/>
      <c r="E16" s="228"/>
      <c r="F16" s="228"/>
      <c r="G16" s="228"/>
      <c r="H16" s="229"/>
      <c r="I16" s="228"/>
      <c r="J16" s="229"/>
      <c r="K16" s="228"/>
      <c r="L16" s="228"/>
      <c r="M16" s="228"/>
      <c r="N16" s="229"/>
      <c r="O16" s="229"/>
      <c r="P16" s="229"/>
      <c r="Q16" s="229"/>
      <c r="R16" s="229"/>
      <c r="S16" s="229"/>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8"/>
      <c r="AX16" s="228"/>
      <c r="AY16" s="228"/>
      <c r="AZ16" s="228"/>
      <c r="BA16" s="228"/>
      <c r="BB16" s="228"/>
      <c r="BC16" s="228"/>
      <c r="BD16" s="228"/>
      <c r="BE16" s="228"/>
      <c r="BF16" s="228"/>
      <c r="BG16" s="228"/>
      <c r="BH16" s="228"/>
      <c r="BI16" s="228"/>
      <c r="BJ16" s="228"/>
      <c r="BK16" s="228"/>
      <c r="BL16" s="228"/>
      <c r="BM16" s="228"/>
      <c r="BN16" s="228"/>
      <c r="BO16" s="228"/>
      <c r="BP16" s="228"/>
      <c r="BQ16" s="228"/>
      <c r="BR16" s="228"/>
      <c r="BS16" s="228"/>
      <c r="BT16" s="228"/>
      <c r="BU16" s="228"/>
      <c r="BV16" s="228"/>
      <c r="BW16" s="228"/>
      <c r="BX16" s="228"/>
      <c r="BY16" s="228"/>
      <c r="BZ16" s="228"/>
      <c r="CA16" s="228"/>
      <c r="CB16" s="228"/>
    </row>
    <row r="17" spans="1:80" x14ac:dyDescent="0.2">
      <c r="A17" s="226"/>
      <c r="B17" s="219" t="s">
        <v>16</v>
      </c>
      <c r="C17" s="205" t="s">
        <v>19</v>
      </c>
      <c r="E17" s="233" t="s">
        <v>20</v>
      </c>
      <c r="F17" s="233" t="s">
        <v>20</v>
      </c>
      <c r="G17" s="233" t="s">
        <v>20</v>
      </c>
      <c r="H17" s="233" t="s">
        <v>20</v>
      </c>
      <c r="I17" s="233" t="s">
        <v>20</v>
      </c>
      <c r="J17" s="233" t="s">
        <v>20</v>
      </c>
      <c r="K17" s="233" t="s">
        <v>20</v>
      </c>
      <c r="L17" s="233" t="s">
        <v>20</v>
      </c>
      <c r="M17" s="233" t="s">
        <v>20</v>
      </c>
      <c r="N17" s="233" t="s">
        <v>20</v>
      </c>
      <c r="O17" s="233" t="s">
        <v>20</v>
      </c>
      <c r="P17" s="233" t="s">
        <v>20</v>
      </c>
      <c r="Q17" s="233" t="s">
        <v>20</v>
      </c>
      <c r="R17" s="233" t="s">
        <v>20</v>
      </c>
      <c r="S17" s="233" t="s">
        <v>20</v>
      </c>
      <c r="T17" s="233" t="s">
        <v>20</v>
      </c>
      <c r="U17" s="233" t="s">
        <v>20</v>
      </c>
      <c r="V17" s="233" t="s">
        <v>20</v>
      </c>
      <c r="W17" s="220" t="s">
        <v>21</v>
      </c>
      <c r="X17" s="220" t="s">
        <v>21</v>
      </c>
      <c r="Y17" s="220" t="s">
        <v>21</v>
      </c>
      <c r="Z17" s="220" t="s">
        <v>21</v>
      </c>
      <c r="AA17" s="220" t="s">
        <v>21</v>
      </c>
      <c r="AB17" s="220" t="s">
        <v>21</v>
      </c>
      <c r="AC17" s="220" t="s">
        <v>21</v>
      </c>
      <c r="AD17" s="220" t="s">
        <v>21</v>
      </c>
      <c r="AE17" s="220" t="s">
        <v>21</v>
      </c>
      <c r="AF17" s="220" t="s">
        <v>21</v>
      </c>
      <c r="AG17" s="220" t="s">
        <v>21</v>
      </c>
      <c r="AH17" s="220" t="s">
        <v>21</v>
      </c>
      <c r="AI17" s="220" t="s">
        <v>21</v>
      </c>
      <c r="AJ17" s="220" t="s">
        <v>21</v>
      </c>
      <c r="AK17" s="220" t="s">
        <v>21</v>
      </c>
      <c r="AL17" s="220" t="s">
        <v>21</v>
      </c>
      <c r="AM17" s="220" t="s">
        <v>21</v>
      </c>
      <c r="AN17" s="220" t="s">
        <v>21</v>
      </c>
      <c r="AO17" s="220" t="s">
        <v>21</v>
      </c>
      <c r="AP17" s="220" t="s">
        <v>21</v>
      </c>
      <c r="AQ17" s="220" t="s">
        <v>21</v>
      </c>
      <c r="AR17" s="220" t="s">
        <v>21</v>
      </c>
      <c r="AS17" s="220" t="s">
        <v>21</v>
      </c>
      <c r="AT17" s="220" t="s">
        <v>21</v>
      </c>
      <c r="AU17" s="220" t="s">
        <v>21</v>
      </c>
      <c r="AV17" s="220" t="s">
        <v>21</v>
      </c>
      <c r="AW17" s="220" t="s">
        <v>21</v>
      </c>
      <c r="AX17" s="220" t="s">
        <v>21</v>
      </c>
      <c r="AY17" s="220" t="s">
        <v>21</v>
      </c>
      <c r="AZ17" s="220" t="s">
        <v>21</v>
      </c>
      <c r="BA17" s="220" t="s">
        <v>21</v>
      </c>
      <c r="BB17" s="220" t="s">
        <v>21</v>
      </c>
      <c r="BC17" s="220" t="s">
        <v>21</v>
      </c>
      <c r="BD17" s="220" t="s">
        <v>21</v>
      </c>
      <c r="BE17" s="220" t="s">
        <v>21</v>
      </c>
      <c r="BF17" s="220" t="s">
        <v>21</v>
      </c>
      <c r="BG17" s="220" t="s">
        <v>21</v>
      </c>
      <c r="BH17" s="220" t="s">
        <v>21</v>
      </c>
      <c r="BI17" s="220" t="s">
        <v>21</v>
      </c>
      <c r="BJ17" s="220" t="s">
        <v>21</v>
      </c>
      <c r="BK17" s="220" t="s">
        <v>21</v>
      </c>
      <c r="BL17" s="220" t="s">
        <v>21</v>
      </c>
      <c r="BM17" s="220" t="s">
        <v>21</v>
      </c>
      <c r="BN17" s="220" t="s">
        <v>21</v>
      </c>
      <c r="BO17" s="220" t="s">
        <v>21</v>
      </c>
      <c r="BP17" s="220" t="s">
        <v>21</v>
      </c>
      <c r="BQ17" s="220" t="s">
        <v>21</v>
      </c>
      <c r="BR17" s="220" t="s">
        <v>21</v>
      </c>
      <c r="BS17" s="220" t="s">
        <v>21</v>
      </c>
      <c r="BT17" s="220" t="s">
        <v>21</v>
      </c>
      <c r="BU17" s="220" t="s">
        <v>21</v>
      </c>
      <c r="BV17" s="220" t="s">
        <v>21</v>
      </c>
      <c r="BW17" s="220" t="s">
        <v>21</v>
      </c>
      <c r="BX17" s="220" t="s">
        <v>21</v>
      </c>
      <c r="BY17" s="220" t="s">
        <v>21</v>
      </c>
      <c r="BZ17" s="220" t="s">
        <v>21</v>
      </c>
      <c r="CA17" s="220" t="s">
        <v>21</v>
      </c>
      <c r="CB17" s="220" t="s">
        <v>21</v>
      </c>
    </row>
    <row r="18" spans="1:80" x14ac:dyDescent="0.2">
      <c r="C18" s="227"/>
      <c r="E18" s="228"/>
      <c r="F18" s="228"/>
      <c r="G18" s="228"/>
      <c r="H18" s="229"/>
      <c r="I18" s="228"/>
      <c r="J18" s="229"/>
      <c r="K18" s="228"/>
      <c r="L18" s="228"/>
      <c r="M18" s="228"/>
      <c r="N18" s="229"/>
      <c r="O18" s="229"/>
      <c r="P18" s="229"/>
      <c r="Q18" s="229"/>
      <c r="R18" s="229"/>
      <c r="S18" s="229"/>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8"/>
      <c r="AX18" s="228"/>
      <c r="AY18" s="228"/>
      <c r="AZ18" s="228"/>
      <c r="BA18" s="228"/>
      <c r="BB18" s="228"/>
      <c r="BC18" s="228"/>
      <c r="BD18" s="228"/>
      <c r="BE18" s="228"/>
      <c r="BF18" s="228"/>
      <c r="BG18" s="228"/>
      <c r="BH18" s="228"/>
      <c r="BI18" s="228"/>
      <c r="BJ18" s="228"/>
      <c r="BK18" s="228"/>
      <c r="BL18" s="228"/>
      <c r="BM18" s="228"/>
      <c r="BN18" s="228"/>
      <c r="BO18" s="228"/>
      <c r="BP18" s="228"/>
      <c r="BQ18" s="228"/>
      <c r="BR18" s="228"/>
      <c r="BS18" s="228"/>
      <c r="BT18" s="228"/>
      <c r="BU18" s="228"/>
      <c r="BV18" s="228"/>
      <c r="BW18" s="228"/>
      <c r="BX18" s="228"/>
      <c r="BY18" s="228"/>
      <c r="BZ18" s="228"/>
      <c r="CA18" s="228"/>
      <c r="CB18" s="228"/>
    </row>
    <row r="19" spans="1:80" x14ac:dyDescent="0.2">
      <c r="A19" s="222" t="s">
        <v>7</v>
      </c>
      <c r="B19" s="223" t="s">
        <v>1175</v>
      </c>
      <c r="C19" s="224"/>
      <c r="D19" s="225"/>
      <c r="E19" s="225"/>
      <c r="F19" s="225"/>
      <c r="G19" s="225"/>
      <c r="H19" s="225"/>
      <c r="I19" s="225"/>
      <c r="J19" s="225"/>
      <c r="K19" s="225"/>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row>
    <row r="20" spans="1:80" x14ac:dyDescent="0.2">
      <c r="A20" s="226"/>
      <c r="B20" s="226"/>
      <c r="C20" s="230"/>
      <c r="E20" s="231"/>
      <c r="F20" s="231"/>
      <c r="G20" s="231"/>
      <c r="H20" s="231"/>
      <c r="I20" s="231"/>
      <c r="J20" s="231"/>
      <c r="K20" s="232"/>
      <c r="L20" s="232"/>
      <c r="M20" s="232"/>
      <c r="N20" s="232"/>
      <c r="O20" s="232"/>
      <c r="P20" s="232"/>
      <c r="Q20" s="232"/>
      <c r="R20" s="232"/>
      <c r="S20" s="232"/>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2"/>
      <c r="AX20" s="232"/>
      <c r="AY20" s="232"/>
      <c r="AZ20" s="232"/>
      <c r="BA20" s="232"/>
      <c r="BB20" s="232"/>
      <c r="BC20" s="232"/>
      <c r="BD20" s="232"/>
      <c r="BE20" s="232"/>
      <c r="BF20" s="232"/>
      <c r="BG20" s="232"/>
      <c r="BH20" s="232"/>
      <c r="BI20" s="232"/>
      <c r="BJ20" s="232"/>
      <c r="BK20" s="232"/>
      <c r="BL20" s="232"/>
      <c r="BM20" s="232"/>
      <c r="BN20" s="232"/>
      <c r="BO20" s="232"/>
      <c r="BP20" s="232"/>
      <c r="BQ20" s="232"/>
      <c r="BR20" s="232"/>
      <c r="BS20" s="232"/>
      <c r="BT20" s="232"/>
      <c r="BU20" s="232"/>
      <c r="BV20" s="232"/>
      <c r="BW20" s="232"/>
      <c r="BX20" s="232"/>
      <c r="BY20" s="232"/>
      <c r="BZ20" s="232"/>
      <c r="CA20" s="232"/>
      <c r="CB20" s="232"/>
    </row>
    <row r="21" spans="1:80" x14ac:dyDescent="0.2">
      <c r="B21" s="246" t="s">
        <v>44</v>
      </c>
      <c r="C21" s="230"/>
      <c r="E21" s="231"/>
      <c r="F21" s="231"/>
      <c r="G21" s="231"/>
      <c r="H21" s="231"/>
      <c r="I21" s="231"/>
      <c r="J21" s="231"/>
      <c r="K21" s="232"/>
      <c r="L21" s="232"/>
      <c r="M21" s="232"/>
      <c r="N21" s="232"/>
      <c r="O21" s="232"/>
      <c r="P21" s="232"/>
      <c r="Q21" s="232"/>
      <c r="R21" s="232"/>
      <c r="S21" s="232"/>
      <c r="T21" s="232"/>
      <c r="U21" s="232"/>
      <c r="V21" s="232"/>
      <c r="W21" s="232"/>
      <c r="X21" s="232"/>
      <c r="Y21" s="232"/>
      <c r="Z21" s="232"/>
      <c r="AA21" s="232"/>
      <c r="AB21" s="232"/>
      <c r="AC21" s="232"/>
      <c r="AD21" s="232"/>
      <c r="AE21" s="232"/>
      <c r="AF21" s="232"/>
      <c r="AG21" s="232"/>
      <c r="AH21" s="232"/>
      <c r="AI21" s="232"/>
      <c r="AJ21" s="232"/>
      <c r="AK21" s="232"/>
      <c r="AL21" s="232"/>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2"/>
      <c r="BK21" s="232"/>
      <c r="BL21" s="232"/>
      <c r="BM21" s="232"/>
      <c r="BN21" s="232"/>
      <c r="BO21" s="232"/>
      <c r="BP21" s="232"/>
      <c r="BQ21" s="232"/>
      <c r="BR21" s="232"/>
      <c r="BS21" s="232"/>
      <c r="BT21" s="232"/>
      <c r="BU21" s="232"/>
      <c r="BV21" s="232"/>
      <c r="BW21" s="232"/>
      <c r="BX21" s="232"/>
      <c r="BY21" s="232"/>
      <c r="BZ21" s="232"/>
      <c r="CA21" s="232"/>
      <c r="CB21" s="232"/>
    </row>
    <row r="22" spans="1:80" x14ac:dyDescent="0.2">
      <c r="B22" s="226"/>
      <c r="C22" s="230"/>
      <c r="E22" s="232"/>
      <c r="F22" s="232"/>
      <c r="G22" s="232"/>
      <c r="H22" s="232"/>
      <c r="I22" s="232"/>
      <c r="J22" s="232"/>
      <c r="K22" s="232"/>
      <c r="L22" s="232"/>
      <c r="M22" s="232"/>
      <c r="N22" s="232"/>
      <c r="O22" s="232"/>
      <c r="P22" s="604" t="s">
        <v>1311</v>
      </c>
      <c r="Q22" s="232"/>
      <c r="R22" s="232"/>
      <c r="S22" s="232"/>
      <c r="T22" s="232"/>
      <c r="U22" s="232"/>
      <c r="V22" s="232"/>
      <c r="W22" s="232"/>
      <c r="X22" s="232"/>
      <c r="Y22" s="28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2"/>
      <c r="BK22" s="232"/>
      <c r="BL22" s="232"/>
      <c r="BM22" s="232"/>
      <c r="BN22" s="232"/>
      <c r="BO22" s="232"/>
      <c r="BP22" s="232"/>
      <c r="BQ22" s="232"/>
      <c r="BR22" s="232"/>
      <c r="BS22" s="232"/>
      <c r="BT22" s="232"/>
      <c r="BU22" s="232"/>
      <c r="BV22" s="232"/>
      <c r="BW22" s="232"/>
      <c r="BX22" s="232"/>
      <c r="BY22" s="232"/>
      <c r="BZ22" s="232"/>
      <c r="CA22" s="232"/>
      <c r="CB22" s="232"/>
    </row>
    <row r="23" spans="1:80" x14ac:dyDescent="0.2">
      <c r="B23" s="234" t="s">
        <v>1176</v>
      </c>
      <c r="C23" s="235" t="s">
        <v>37</v>
      </c>
      <c r="E23" s="232"/>
      <c r="F23" s="232"/>
      <c r="G23" s="232"/>
      <c r="H23" s="232"/>
      <c r="I23" s="232"/>
      <c r="J23" s="232"/>
      <c r="K23" s="232"/>
      <c r="L23" s="232"/>
      <c r="M23" s="232"/>
      <c r="N23" s="232"/>
      <c r="O23" s="232"/>
      <c r="P23" s="232"/>
      <c r="Q23" s="232"/>
      <c r="R23" s="231">
        <v>357</v>
      </c>
      <c r="S23" s="232"/>
      <c r="T23" s="232"/>
      <c r="U23" s="232"/>
      <c r="V23" s="232">
        <f>R23*(1+V24)</f>
        <v>403.40999999999997</v>
      </c>
      <c r="W23" s="232"/>
      <c r="X23" s="232"/>
      <c r="Y23" s="232"/>
      <c r="Z23" s="232"/>
      <c r="AA23" s="232"/>
      <c r="AB23" s="232"/>
      <c r="AC23" s="232"/>
      <c r="AD23" s="232"/>
      <c r="AE23" s="232"/>
      <c r="AF23" s="232"/>
      <c r="AG23" s="232"/>
      <c r="AH23" s="232"/>
      <c r="AI23" s="232"/>
      <c r="AJ23" s="232"/>
      <c r="AK23" s="232"/>
      <c r="AL23" s="232"/>
      <c r="AM23" s="232"/>
      <c r="AN23" s="232"/>
      <c r="AO23" s="232"/>
      <c r="AP23" s="232"/>
      <c r="AQ23" s="232"/>
      <c r="AR23" s="232"/>
      <c r="AS23" s="232"/>
      <c r="AT23" s="232"/>
      <c r="AU23" s="232"/>
      <c r="AV23" s="232"/>
      <c r="AW23" s="232"/>
      <c r="AX23" s="232"/>
      <c r="AY23" s="232"/>
      <c r="AZ23" s="232"/>
      <c r="BA23" s="232"/>
      <c r="BB23" s="232"/>
      <c r="BC23" s="232"/>
      <c r="BD23" s="232"/>
      <c r="BE23" s="232"/>
      <c r="BF23" s="232"/>
      <c r="BG23" s="232"/>
      <c r="BH23" s="232"/>
      <c r="BI23" s="232"/>
      <c r="BJ23" s="232"/>
      <c r="BK23" s="232"/>
      <c r="BL23" s="232"/>
      <c r="BM23" s="232"/>
      <c r="BN23" s="232"/>
      <c r="BO23" s="232"/>
      <c r="BP23" s="232"/>
      <c r="BQ23" s="232"/>
      <c r="BR23" s="232"/>
      <c r="BS23" s="232"/>
      <c r="BT23" s="232"/>
      <c r="BU23" s="232"/>
      <c r="BV23" s="232"/>
      <c r="BW23" s="232"/>
      <c r="BX23" s="232"/>
      <c r="BY23" s="232"/>
      <c r="BZ23" s="232"/>
      <c r="CA23" s="232"/>
      <c r="CB23" s="232"/>
    </row>
    <row r="24" spans="1:80" x14ac:dyDescent="0.2">
      <c r="B24" s="413" t="s">
        <v>38</v>
      </c>
      <c r="C24" s="205" t="s">
        <v>39</v>
      </c>
      <c r="E24" s="372"/>
      <c r="F24" s="372"/>
      <c r="G24" s="372"/>
      <c r="H24" s="372"/>
      <c r="I24" s="372"/>
      <c r="J24" s="372"/>
      <c r="K24" s="372"/>
      <c r="L24" s="372"/>
      <c r="M24" s="372"/>
      <c r="N24" s="372"/>
      <c r="O24" s="372"/>
      <c r="P24" s="372"/>
      <c r="Q24" s="372"/>
      <c r="R24" s="372"/>
      <c r="S24" s="372"/>
      <c r="T24" s="372"/>
      <c r="U24" s="372"/>
      <c r="V24" s="372">
        <v>0.13</v>
      </c>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row>
    <row r="25" spans="1:80" x14ac:dyDescent="0.2">
      <c r="B25" s="226"/>
      <c r="C25" s="230"/>
      <c r="E25" s="232"/>
      <c r="F25" s="232"/>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32"/>
      <c r="AH25" s="232"/>
      <c r="AI25" s="232"/>
      <c r="AJ25" s="232"/>
      <c r="AK25" s="232"/>
      <c r="AL25" s="232"/>
      <c r="AM25" s="232"/>
      <c r="AN25" s="232"/>
      <c r="AO25" s="232"/>
      <c r="AP25" s="232"/>
      <c r="AQ25" s="232"/>
      <c r="AR25" s="232"/>
      <c r="AS25" s="232"/>
      <c r="AT25" s="232"/>
      <c r="AU25" s="232"/>
      <c r="AV25" s="232"/>
      <c r="AW25" s="232"/>
      <c r="AX25" s="232"/>
      <c r="AY25" s="232"/>
      <c r="AZ25" s="232"/>
      <c r="BA25" s="232"/>
      <c r="BB25" s="232"/>
      <c r="BC25" s="232"/>
      <c r="BD25" s="232"/>
      <c r="BE25" s="232"/>
      <c r="BF25" s="232"/>
      <c r="BG25" s="232"/>
      <c r="BH25" s="232"/>
      <c r="BI25" s="232"/>
      <c r="BJ25" s="232"/>
      <c r="BK25" s="232"/>
      <c r="BL25" s="232"/>
      <c r="BM25" s="232"/>
      <c r="BN25" s="232"/>
      <c r="BO25" s="232"/>
      <c r="BP25" s="232"/>
      <c r="BQ25" s="232"/>
      <c r="BR25" s="232"/>
      <c r="BS25" s="232"/>
      <c r="BT25" s="232"/>
      <c r="BU25" s="232"/>
      <c r="BV25" s="232"/>
      <c r="BW25" s="232"/>
      <c r="BX25" s="232"/>
      <c r="BY25" s="232"/>
      <c r="BZ25" s="232"/>
      <c r="CA25" s="232"/>
      <c r="CB25" s="232"/>
    </row>
    <row r="26" spans="1:80" x14ac:dyDescent="0.2">
      <c r="B26" s="234" t="s">
        <v>40</v>
      </c>
      <c r="C26" s="235" t="s">
        <v>37</v>
      </c>
      <c r="E26" s="232"/>
      <c r="F26" s="232"/>
      <c r="G26" s="232"/>
      <c r="H26" s="232"/>
      <c r="I26" s="232"/>
      <c r="J26" s="232"/>
      <c r="K26" s="232"/>
      <c r="L26" s="232"/>
      <c r="M26" s="232"/>
      <c r="N26" s="232"/>
      <c r="O26" s="232"/>
      <c r="P26" s="232"/>
      <c r="Q26" s="232"/>
      <c r="R26" s="232"/>
      <c r="S26" s="232"/>
      <c r="T26" s="232"/>
      <c r="U26" s="232"/>
      <c r="V26" s="232">
        <f>V29-V23</f>
        <v>40.990000000000009</v>
      </c>
      <c r="W26" s="232"/>
      <c r="X26" s="232"/>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G26" s="232"/>
      <c r="BH26" s="232"/>
      <c r="BI26" s="232"/>
      <c r="BJ26" s="232"/>
      <c r="BK26" s="232"/>
      <c r="BL26" s="232"/>
      <c r="BM26" s="232"/>
      <c r="BN26" s="232"/>
      <c r="BO26" s="232"/>
      <c r="BP26" s="232"/>
      <c r="BQ26" s="232"/>
      <c r="BR26" s="232"/>
      <c r="BS26" s="232"/>
      <c r="BT26" s="232"/>
      <c r="BU26" s="232"/>
      <c r="BV26" s="232"/>
      <c r="BW26" s="232"/>
      <c r="BX26" s="232"/>
      <c r="BY26" s="232"/>
      <c r="BZ26" s="232"/>
      <c r="CA26" s="232"/>
      <c r="CB26" s="232"/>
    </row>
    <row r="27" spans="1:80" x14ac:dyDescent="0.2">
      <c r="B27" s="413" t="s">
        <v>38</v>
      </c>
      <c r="C27" s="205" t="s">
        <v>39</v>
      </c>
      <c r="E27" s="240"/>
      <c r="F27" s="240"/>
      <c r="G27" s="240"/>
      <c r="H27" s="240"/>
      <c r="I27" s="240"/>
      <c r="J27" s="240"/>
      <c r="K27" s="240"/>
      <c r="L27" s="240"/>
      <c r="M27" s="240"/>
      <c r="N27" s="240"/>
      <c r="O27" s="240"/>
      <c r="P27" s="240"/>
      <c r="Q27" s="240"/>
      <c r="R27" s="240"/>
      <c r="S27" s="240"/>
      <c r="T27" s="240"/>
      <c r="U27" s="240"/>
      <c r="V27" s="240" t="e">
        <f>V26/R26-1</f>
        <v>#DIV/0!</v>
      </c>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row>
    <row r="28" spans="1:80" x14ac:dyDescent="0.2">
      <c r="B28" s="226"/>
      <c r="C28" s="230"/>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c r="AF28" s="232"/>
      <c r="AG28" s="232"/>
      <c r="AH28" s="232"/>
      <c r="AI28" s="232"/>
      <c r="AJ28" s="232"/>
      <c r="AK28" s="232"/>
      <c r="AL28" s="232"/>
      <c r="AM28" s="232"/>
      <c r="AN28" s="232"/>
      <c r="AO28" s="232"/>
      <c r="AP28" s="232"/>
      <c r="AQ28" s="232"/>
      <c r="AR28" s="232"/>
      <c r="AS28" s="232"/>
      <c r="AT28" s="232"/>
      <c r="AU28" s="232"/>
      <c r="AV28" s="232"/>
      <c r="AW28" s="232"/>
      <c r="AX28" s="232"/>
      <c r="AY28" s="232"/>
      <c r="AZ28" s="232"/>
      <c r="BA28" s="232"/>
      <c r="BB28" s="232"/>
      <c r="BC28" s="232"/>
      <c r="BD28" s="232"/>
      <c r="BE28" s="232"/>
      <c r="BF28" s="232"/>
      <c r="BG28" s="232"/>
      <c r="BH28" s="232"/>
      <c r="BI28" s="232"/>
      <c r="BJ28" s="232"/>
      <c r="BK28" s="232"/>
      <c r="BL28" s="232"/>
      <c r="BM28" s="232"/>
      <c r="BN28" s="232"/>
      <c r="BO28" s="232"/>
      <c r="BP28" s="232"/>
      <c r="BQ28" s="232"/>
      <c r="BR28" s="232"/>
      <c r="BS28" s="232"/>
      <c r="BT28" s="232"/>
      <c r="BU28" s="232"/>
      <c r="BV28" s="232"/>
      <c r="BW28" s="232"/>
      <c r="BX28" s="232"/>
      <c r="BY28" s="232"/>
      <c r="BZ28" s="232"/>
      <c r="CA28" s="232"/>
      <c r="CB28" s="232"/>
    </row>
    <row r="29" spans="1:80" x14ac:dyDescent="0.2">
      <c r="B29" s="239" t="s">
        <v>35</v>
      </c>
      <c r="C29" s="241" t="s">
        <v>37</v>
      </c>
      <c r="E29" s="257"/>
      <c r="F29" s="257"/>
      <c r="G29" s="257"/>
      <c r="H29" s="257"/>
      <c r="I29" s="257"/>
      <c r="J29" s="257"/>
      <c r="K29" s="257"/>
      <c r="L29" s="257"/>
      <c r="M29" s="257">
        <v>143.9</v>
      </c>
      <c r="N29" s="257">
        <v>154.80000000000001</v>
      </c>
      <c r="O29" s="257">
        <v>139.19999999999999</v>
      </c>
      <c r="P29" s="257">
        <v>153.6</v>
      </c>
      <c r="Q29" s="257">
        <v>286.60000000000002</v>
      </c>
      <c r="R29" s="257">
        <v>357</v>
      </c>
      <c r="S29" s="257">
        <v>376</v>
      </c>
      <c r="T29" s="257">
        <v>399.5</v>
      </c>
      <c r="U29" s="257">
        <v>363</v>
      </c>
      <c r="V29" s="257">
        <v>444.4</v>
      </c>
      <c r="W29" s="257">
        <v>383</v>
      </c>
      <c r="X29" s="257">
        <v>404.3</v>
      </c>
      <c r="Y29" s="229">
        <f>U29*(1+Y30)</f>
        <v>413.82000000000005</v>
      </c>
      <c r="Z29" s="229">
        <f>V29*(1+Z30)</f>
        <v>473.28599999999994</v>
      </c>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29"/>
      <c r="BU29" s="229"/>
      <c r="BV29" s="229"/>
      <c r="BW29" s="229"/>
      <c r="BX29" s="229"/>
      <c r="BY29" s="229"/>
      <c r="BZ29" s="229"/>
      <c r="CA29" s="229"/>
      <c r="CB29" s="229"/>
    </row>
    <row r="30" spans="1:80" x14ac:dyDescent="0.2">
      <c r="B30" s="226" t="s">
        <v>38</v>
      </c>
      <c r="C30" s="205" t="s">
        <v>39</v>
      </c>
      <c r="E30" s="240"/>
      <c r="F30" s="240"/>
      <c r="G30" s="240"/>
      <c r="H30" s="240"/>
      <c r="I30" s="240"/>
      <c r="J30" s="240"/>
      <c r="K30" s="240"/>
      <c r="L30" s="240"/>
      <c r="M30" s="240"/>
      <c r="N30" s="240"/>
      <c r="O30" s="240"/>
      <c r="P30" s="240"/>
      <c r="Q30" s="240">
        <f t="shared" ref="Q30:X30" si="24">Q29/M29-1</f>
        <v>0.99166087560806115</v>
      </c>
      <c r="R30" s="240">
        <f t="shared" si="24"/>
        <v>1.3062015503875966</v>
      </c>
      <c r="S30" s="240">
        <f t="shared" si="24"/>
        <v>1.7011494252873565</v>
      </c>
      <c r="T30" s="240">
        <f t="shared" si="24"/>
        <v>1.6009114583333335</v>
      </c>
      <c r="U30" s="240">
        <f t="shared" si="24"/>
        <v>0.26657362177250521</v>
      </c>
      <c r="V30" s="240">
        <f t="shared" si="24"/>
        <v>0.24481792717086837</v>
      </c>
      <c r="W30" s="240">
        <f t="shared" si="24"/>
        <v>1.8617021276595702E-2</v>
      </c>
      <c r="X30" s="240">
        <f t="shared" si="24"/>
        <v>1.201501877346689E-2</v>
      </c>
      <c r="Y30" s="408">
        <v>0.14000000000000001</v>
      </c>
      <c r="Z30" s="408">
        <v>6.5000000000000002E-2</v>
      </c>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29"/>
      <c r="BB30" s="229"/>
      <c r="BC30" s="229"/>
      <c r="BD30" s="229"/>
      <c r="BE30" s="229"/>
      <c r="BF30" s="229"/>
      <c r="BG30" s="229"/>
      <c r="BH30" s="229"/>
      <c r="BI30" s="229"/>
      <c r="BJ30" s="229"/>
      <c r="BK30" s="229"/>
      <c r="BL30" s="229"/>
      <c r="BM30" s="229"/>
      <c r="BN30" s="229"/>
      <c r="BO30" s="229"/>
      <c r="BP30" s="229"/>
      <c r="BQ30" s="229"/>
      <c r="BR30" s="229"/>
      <c r="BS30" s="229"/>
      <c r="BT30" s="229"/>
      <c r="BU30" s="229"/>
      <c r="BV30" s="229"/>
      <c r="BW30" s="229"/>
      <c r="BX30" s="229"/>
      <c r="BY30" s="229"/>
      <c r="BZ30" s="229"/>
      <c r="CA30" s="229"/>
      <c r="CB30" s="229"/>
    </row>
    <row r="31" spans="1:80" x14ac:dyDescent="0.2">
      <c r="B31" s="226"/>
      <c r="C31" s="230"/>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32"/>
      <c r="AR31" s="232"/>
      <c r="AS31" s="232"/>
      <c r="AT31" s="232"/>
      <c r="AU31" s="232"/>
      <c r="AV31" s="232"/>
      <c r="AW31" s="232"/>
      <c r="AX31" s="232"/>
      <c r="AY31" s="232"/>
      <c r="AZ31" s="232"/>
      <c r="BA31" s="232"/>
      <c r="BB31" s="232"/>
      <c r="BC31" s="232"/>
      <c r="BD31" s="232"/>
      <c r="BE31" s="232"/>
      <c r="BF31" s="232"/>
      <c r="BG31" s="232"/>
      <c r="BH31" s="232"/>
      <c r="BI31" s="232"/>
      <c r="BJ31" s="232"/>
      <c r="BK31" s="232"/>
      <c r="BL31" s="232"/>
      <c r="BM31" s="232"/>
      <c r="BN31" s="232"/>
      <c r="BO31" s="232"/>
      <c r="BP31" s="232"/>
      <c r="BQ31" s="232"/>
      <c r="BR31" s="232"/>
      <c r="BS31" s="232"/>
      <c r="BT31" s="232"/>
      <c r="BU31" s="232"/>
      <c r="BV31" s="232"/>
      <c r="BW31" s="232"/>
      <c r="BX31" s="232"/>
      <c r="BY31" s="232"/>
      <c r="BZ31" s="232"/>
      <c r="CA31" s="232"/>
      <c r="CB31" s="232"/>
    </row>
    <row r="32" spans="1:80" x14ac:dyDescent="0.2">
      <c r="B32" s="234" t="s">
        <v>50</v>
      </c>
      <c r="C32" s="235" t="s">
        <v>51</v>
      </c>
      <c r="E32" s="231"/>
      <c r="F32" s="231"/>
      <c r="G32" s="231"/>
      <c r="H32" s="231"/>
      <c r="I32" s="231"/>
      <c r="J32" s="231"/>
      <c r="K32" s="231"/>
      <c r="L32" s="231"/>
      <c r="M32" s="231"/>
      <c r="N32" s="231"/>
      <c r="O32" s="231"/>
      <c r="P32" s="231"/>
      <c r="Q32" s="231">
        <v>120.2</v>
      </c>
      <c r="R32" s="231">
        <v>144.69999999999999</v>
      </c>
      <c r="S32" s="231">
        <v>153</v>
      </c>
      <c r="T32" s="231">
        <v>155.4</v>
      </c>
      <c r="U32" s="231">
        <v>154.69999999999999</v>
      </c>
      <c r="V32" s="231">
        <v>163.5</v>
      </c>
      <c r="W32" s="231">
        <v>157.26400000000001</v>
      </c>
      <c r="X32" s="231">
        <v>156.47900000000001</v>
      </c>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232"/>
      <c r="AX32" s="232"/>
      <c r="AY32" s="232"/>
      <c r="AZ32" s="232"/>
      <c r="BA32" s="232"/>
      <c r="BB32" s="232"/>
      <c r="BC32" s="232"/>
      <c r="BD32" s="232"/>
      <c r="BE32" s="232"/>
      <c r="BF32" s="232"/>
      <c r="BG32" s="232"/>
      <c r="BH32" s="232"/>
      <c r="BI32" s="232"/>
      <c r="BJ32" s="232"/>
      <c r="BK32" s="232"/>
      <c r="BL32" s="232"/>
      <c r="BM32" s="232"/>
      <c r="BN32" s="232"/>
      <c r="BO32" s="232"/>
      <c r="BP32" s="232"/>
      <c r="BQ32" s="232"/>
      <c r="BR32" s="232"/>
      <c r="BS32" s="232"/>
      <c r="BT32" s="232"/>
      <c r="BU32" s="232"/>
      <c r="BV32" s="232"/>
      <c r="BW32" s="232"/>
      <c r="BX32" s="232"/>
      <c r="BY32" s="232"/>
      <c r="BZ32" s="232"/>
      <c r="CA32" s="232"/>
      <c r="CB32" s="232"/>
    </row>
    <row r="33" spans="2:80" x14ac:dyDescent="0.2">
      <c r="B33" s="413" t="s">
        <v>1177</v>
      </c>
      <c r="C33" s="205" t="s">
        <v>39</v>
      </c>
      <c r="E33" s="232"/>
      <c r="F33" s="232"/>
      <c r="G33" s="232"/>
      <c r="H33" s="232"/>
      <c r="I33" s="232"/>
      <c r="J33" s="232"/>
      <c r="K33" s="232"/>
      <c r="L33" s="232"/>
      <c r="M33" s="232"/>
      <c r="N33" s="232"/>
      <c r="O33" s="232"/>
      <c r="P33" s="232"/>
      <c r="Q33" s="232"/>
      <c r="R33" s="232"/>
      <c r="S33" s="232"/>
      <c r="T33" s="232"/>
      <c r="U33" s="232"/>
      <c r="V33" s="232"/>
      <c r="W33" s="232"/>
      <c r="X33" s="232"/>
      <c r="Y33" s="232"/>
      <c r="Z33" s="232"/>
      <c r="AA33" s="232"/>
      <c r="AB33" s="232"/>
      <c r="AC33" s="232"/>
      <c r="AD33" s="232"/>
      <c r="AE33" s="232"/>
      <c r="AF33" s="232"/>
      <c r="AG33" s="232"/>
      <c r="AH33" s="232"/>
      <c r="AI33" s="232"/>
      <c r="AJ33" s="232"/>
      <c r="AK33" s="232"/>
      <c r="AL33" s="232"/>
      <c r="AM33" s="232"/>
      <c r="AN33" s="232"/>
      <c r="AO33" s="232"/>
      <c r="AP33" s="232"/>
      <c r="AQ33" s="232"/>
      <c r="AR33" s="232"/>
      <c r="AS33" s="232"/>
      <c r="AT33" s="232"/>
      <c r="AU33" s="232"/>
      <c r="AV33" s="232"/>
      <c r="AW33" s="232"/>
      <c r="AX33" s="232"/>
      <c r="AY33" s="232"/>
      <c r="AZ33" s="232"/>
      <c r="BA33" s="232"/>
      <c r="BB33" s="232"/>
      <c r="BC33" s="232"/>
      <c r="BD33" s="232"/>
      <c r="BE33" s="232"/>
      <c r="BF33" s="232"/>
      <c r="BG33" s="232"/>
      <c r="BH33" s="232"/>
      <c r="BI33" s="232"/>
      <c r="BJ33" s="232"/>
      <c r="BK33" s="232"/>
      <c r="BL33" s="232"/>
      <c r="BM33" s="232"/>
      <c r="BN33" s="232"/>
      <c r="BO33" s="232"/>
      <c r="BP33" s="232"/>
      <c r="BQ33" s="232"/>
      <c r="BR33" s="232"/>
      <c r="BS33" s="232"/>
      <c r="BT33" s="232"/>
      <c r="BU33" s="232"/>
      <c r="BV33" s="232"/>
      <c r="BW33" s="232"/>
      <c r="BX33" s="232"/>
      <c r="BY33" s="232"/>
      <c r="BZ33" s="232"/>
      <c r="CA33" s="232"/>
      <c r="CB33" s="232"/>
    </row>
    <row r="34" spans="2:80" x14ac:dyDescent="0.2">
      <c r="B34" s="226"/>
      <c r="C34" s="230"/>
      <c r="E34" s="232"/>
      <c r="F34" s="232"/>
      <c r="G34" s="232"/>
      <c r="H34" s="232"/>
      <c r="I34" s="232"/>
      <c r="J34" s="232"/>
      <c r="K34" s="232"/>
      <c r="L34" s="232"/>
      <c r="M34" s="232"/>
      <c r="N34" s="232"/>
      <c r="O34" s="232"/>
      <c r="P34" s="232"/>
      <c r="Q34" s="232"/>
      <c r="R34" s="232"/>
      <c r="S34" s="232"/>
      <c r="T34" s="232"/>
      <c r="U34" s="232"/>
      <c r="V34" s="232"/>
      <c r="W34" s="232"/>
      <c r="X34" s="232"/>
      <c r="Y34" s="232"/>
      <c r="Z34" s="232"/>
      <c r="AA34" s="232"/>
      <c r="AB34" s="232"/>
      <c r="AC34" s="232"/>
      <c r="AD34" s="232"/>
      <c r="AE34" s="232"/>
      <c r="AF34" s="232"/>
      <c r="AG34" s="232"/>
      <c r="AH34" s="232"/>
      <c r="AI34" s="232"/>
      <c r="AJ34" s="232"/>
      <c r="AK34" s="232"/>
      <c r="AL34" s="232"/>
      <c r="AM34" s="232"/>
      <c r="AN34" s="232"/>
      <c r="AO34" s="232"/>
      <c r="AP34" s="232"/>
      <c r="AQ34" s="232"/>
      <c r="AR34" s="232"/>
      <c r="AS34" s="232"/>
      <c r="AT34" s="232"/>
      <c r="AU34" s="232"/>
      <c r="AV34" s="232"/>
      <c r="AW34" s="232"/>
      <c r="AX34" s="232"/>
      <c r="AY34" s="232"/>
      <c r="AZ34" s="232"/>
      <c r="BA34" s="232"/>
      <c r="BB34" s="232"/>
      <c r="BC34" s="232"/>
      <c r="BD34" s="232"/>
      <c r="BE34" s="232"/>
      <c r="BF34" s="232"/>
      <c r="BG34" s="232"/>
      <c r="BH34" s="232"/>
      <c r="BI34" s="232"/>
      <c r="BJ34" s="232"/>
      <c r="BK34" s="232"/>
      <c r="BL34" s="232"/>
      <c r="BM34" s="232"/>
      <c r="BN34" s="232"/>
      <c r="BO34" s="232"/>
      <c r="BP34" s="232"/>
      <c r="BQ34" s="232"/>
      <c r="BR34" s="232"/>
      <c r="BS34" s="232"/>
      <c r="BT34" s="232"/>
      <c r="BU34" s="232"/>
      <c r="BV34" s="232"/>
      <c r="BW34" s="232"/>
      <c r="BX34" s="232"/>
      <c r="BY34" s="232"/>
      <c r="BZ34" s="232"/>
      <c r="CA34" s="232"/>
      <c r="CB34" s="232"/>
    </row>
    <row r="35" spans="2:80" x14ac:dyDescent="0.2">
      <c r="B35" s="239" t="s">
        <v>42</v>
      </c>
      <c r="C35" s="241" t="s">
        <v>37</v>
      </c>
      <c r="E35" s="257"/>
      <c r="F35" s="257"/>
      <c r="G35" s="257"/>
      <c r="H35" s="257"/>
      <c r="I35" s="257"/>
      <c r="J35" s="257"/>
      <c r="K35" s="257"/>
      <c r="L35" s="257"/>
      <c r="M35" s="257">
        <v>18.8</v>
      </c>
      <c r="N35" s="257">
        <v>21.2</v>
      </c>
      <c r="O35" s="257">
        <v>18.600000000000001</v>
      </c>
      <c r="P35" s="257">
        <v>20.8</v>
      </c>
      <c r="Q35" s="257">
        <v>38.799999999999997</v>
      </c>
      <c r="R35" s="257">
        <v>52.2</v>
      </c>
      <c r="S35" s="257">
        <v>51.7</v>
      </c>
      <c r="T35" s="257">
        <v>53.1</v>
      </c>
      <c r="U35" s="257">
        <v>51.8</v>
      </c>
      <c r="V35" s="257">
        <v>55.9</v>
      </c>
      <c r="W35" s="257">
        <v>50.3</v>
      </c>
      <c r="X35" s="257">
        <v>57.1</v>
      </c>
      <c r="Y35" s="229">
        <f>Y29*Y36</f>
        <v>59.176259999999999</v>
      </c>
      <c r="Z35" s="229">
        <f>Z29*Z36</f>
        <v>67.67989799999998</v>
      </c>
      <c r="AA35" s="232"/>
      <c r="AB35" s="232"/>
      <c r="AC35" s="232"/>
      <c r="AD35" s="232"/>
      <c r="AE35" s="232"/>
      <c r="AF35" s="232"/>
      <c r="AG35" s="232"/>
      <c r="AH35" s="232"/>
      <c r="AI35" s="232"/>
      <c r="AJ35" s="232"/>
      <c r="AK35" s="232"/>
      <c r="AL35" s="232"/>
      <c r="AM35" s="232"/>
      <c r="AN35" s="232"/>
      <c r="AO35" s="232"/>
      <c r="AP35" s="232"/>
      <c r="AQ35" s="232"/>
      <c r="AR35" s="232"/>
      <c r="AS35" s="232"/>
      <c r="AT35" s="232"/>
      <c r="AU35" s="232"/>
      <c r="AV35" s="232"/>
      <c r="AW35" s="232"/>
      <c r="AX35" s="232"/>
      <c r="AY35" s="232"/>
      <c r="AZ35" s="232"/>
      <c r="BA35" s="232"/>
      <c r="BB35" s="232"/>
      <c r="BC35" s="232"/>
      <c r="BD35" s="232"/>
      <c r="BE35" s="232"/>
      <c r="BF35" s="232"/>
      <c r="BG35" s="232"/>
      <c r="BH35" s="232"/>
      <c r="BI35" s="232"/>
      <c r="BJ35" s="232"/>
      <c r="BK35" s="232"/>
      <c r="BL35" s="232"/>
      <c r="BM35" s="232"/>
      <c r="BN35" s="232"/>
      <c r="BO35" s="232"/>
      <c r="BP35" s="232"/>
      <c r="BQ35" s="232"/>
      <c r="BR35" s="232"/>
      <c r="BS35" s="232"/>
      <c r="BT35" s="232"/>
      <c r="BU35" s="232"/>
      <c r="BV35" s="232"/>
      <c r="BW35" s="232"/>
      <c r="BX35" s="232"/>
      <c r="BY35" s="232"/>
      <c r="BZ35" s="232"/>
      <c r="CA35" s="232"/>
      <c r="CB35" s="232"/>
    </row>
    <row r="36" spans="2:80" x14ac:dyDescent="0.2">
      <c r="B36" s="226" t="s">
        <v>47</v>
      </c>
      <c r="C36" s="205" t="s">
        <v>39</v>
      </c>
      <c r="E36" s="240"/>
      <c r="F36" s="240"/>
      <c r="G36" s="240"/>
      <c r="H36" s="240"/>
      <c r="I36" s="240"/>
      <c r="J36" s="240"/>
      <c r="K36" s="240"/>
      <c r="L36" s="240"/>
      <c r="M36" s="240">
        <f t="shared" ref="M36:W36" si="25">M35/M29</f>
        <v>0.13064628214037527</v>
      </c>
      <c r="N36" s="240">
        <f t="shared" si="25"/>
        <v>0.13695090439276483</v>
      </c>
      <c r="O36" s="240">
        <f t="shared" si="25"/>
        <v>0.13362068965517243</v>
      </c>
      <c r="P36" s="240">
        <f t="shared" si="25"/>
        <v>0.13541666666666669</v>
      </c>
      <c r="Q36" s="240">
        <f t="shared" si="25"/>
        <v>0.13538032100488484</v>
      </c>
      <c r="R36" s="240">
        <f t="shared" si="25"/>
        <v>0.14621848739495799</v>
      </c>
      <c r="S36" s="240">
        <f t="shared" si="25"/>
        <v>0.13750000000000001</v>
      </c>
      <c r="T36" s="240">
        <f t="shared" si="25"/>
        <v>0.13291614518147685</v>
      </c>
      <c r="U36" s="240">
        <f t="shared" si="25"/>
        <v>0.14269972451790633</v>
      </c>
      <c r="V36" s="240">
        <f t="shared" si="25"/>
        <v>0.1257875787578758</v>
      </c>
      <c r="W36" s="240">
        <f t="shared" si="25"/>
        <v>0.13133159268929503</v>
      </c>
      <c r="X36" s="240">
        <f t="shared" ref="X36" si="26">X35/X29</f>
        <v>0.14123175859510265</v>
      </c>
      <c r="Y36" s="408">
        <v>0.14299999999999999</v>
      </c>
      <c r="Z36" s="408">
        <v>0.14299999999999999</v>
      </c>
      <c r="AA36" s="232"/>
      <c r="AB36" s="232"/>
      <c r="AC36" s="232"/>
      <c r="AD36" s="232"/>
      <c r="AE36" s="232"/>
      <c r="AF36" s="232"/>
      <c r="AG36" s="232"/>
      <c r="AH36" s="232"/>
      <c r="AI36" s="232"/>
      <c r="AJ36" s="232"/>
      <c r="AK36" s="232"/>
      <c r="AL36" s="232"/>
      <c r="AM36" s="232"/>
      <c r="AN36" s="232"/>
      <c r="AO36" s="232"/>
      <c r="AP36" s="232"/>
      <c r="AQ36" s="232"/>
      <c r="AR36" s="232"/>
      <c r="AS36" s="232"/>
      <c r="AT36" s="232"/>
      <c r="AU36" s="232"/>
      <c r="AV36" s="232"/>
      <c r="AW36" s="232"/>
      <c r="AX36" s="232"/>
      <c r="AY36" s="232"/>
      <c r="AZ36" s="232"/>
      <c r="BA36" s="232"/>
      <c r="BB36" s="232"/>
      <c r="BC36" s="232"/>
      <c r="BD36" s="232"/>
      <c r="BE36" s="232"/>
      <c r="BF36" s="232"/>
      <c r="BG36" s="232"/>
      <c r="BH36" s="232"/>
      <c r="BI36" s="232"/>
      <c r="BJ36" s="232"/>
      <c r="BK36" s="232"/>
      <c r="BL36" s="232"/>
      <c r="BM36" s="232"/>
      <c r="BN36" s="232"/>
      <c r="BO36" s="232"/>
      <c r="BP36" s="232"/>
      <c r="BQ36" s="232"/>
      <c r="BR36" s="232"/>
      <c r="BS36" s="232"/>
      <c r="BT36" s="232"/>
      <c r="BU36" s="232"/>
      <c r="BV36" s="232"/>
      <c r="BW36" s="232"/>
      <c r="BX36" s="232"/>
      <c r="BY36" s="232"/>
      <c r="BZ36" s="232"/>
      <c r="CA36" s="232"/>
      <c r="CB36" s="232"/>
    </row>
    <row r="37" spans="2:80" x14ac:dyDescent="0.2">
      <c r="B37" s="226"/>
      <c r="C37" s="230"/>
      <c r="E37" s="232"/>
      <c r="F37" s="232"/>
      <c r="G37" s="232"/>
      <c r="H37" s="232"/>
      <c r="I37" s="232"/>
      <c r="J37" s="232"/>
      <c r="K37" s="232"/>
      <c r="L37" s="232"/>
      <c r="M37" s="232"/>
      <c r="N37" s="232"/>
      <c r="O37" s="232"/>
      <c r="P37" s="232"/>
      <c r="Q37" s="232"/>
      <c r="R37" s="232"/>
      <c r="S37" s="232"/>
      <c r="T37" s="232"/>
      <c r="U37" s="232"/>
      <c r="V37" s="232"/>
      <c r="W37" s="232"/>
      <c r="X37" s="232"/>
      <c r="Y37" s="232"/>
      <c r="Z37" s="232"/>
      <c r="AA37" s="232"/>
      <c r="AB37" s="232"/>
      <c r="AC37" s="232"/>
      <c r="AD37" s="232"/>
      <c r="AE37" s="232"/>
      <c r="AF37" s="232"/>
      <c r="AG37" s="232"/>
      <c r="AH37" s="232"/>
      <c r="AI37" s="232"/>
      <c r="AJ37" s="232"/>
      <c r="AK37" s="232"/>
      <c r="AL37" s="232"/>
      <c r="AM37" s="232"/>
      <c r="AN37" s="232"/>
      <c r="AO37" s="232"/>
      <c r="AP37" s="232"/>
      <c r="AQ37" s="232"/>
      <c r="AR37" s="232"/>
      <c r="AS37" s="232"/>
      <c r="AT37" s="232"/>
      <c r="AU37" s="232"/>
      <c r="AV37" s="232"/>
      <c r="AW37" s="232"/>
      <c r="AX37" s="232"/>
      <c r="AY37" s="232"/>
      <c r="AZ37" s="232"/>
      <c r="BA37" s="232"/>
      <c r="BB37" s="232"/>
      <c r="BC37" s="232"/>
      <c r="BD37" s="232"/>
      <c r="BE37" s="232"/>
      <c r="BF37" s="232"/>
      <c r="BG37" s="232"/>
      <c r="BH37" s="232"/>
      <c r="BI37" s="232"/>
      <c r="BJ37" s="232"/>
      <c r="BK37" s="232"/>
      <c r="BL37" s="232"/>
      <c r="BM37" s="232"/>
      <c r="BN37" s="232"/>
      <c r="BO37" s="232"/>
      <c r="BP37" s="232"/>
      <c r="BQ37" s="232"/>
      <c r="BR37" s="232"/>
      <c r="BS37" s="232"/>
      <c r="BT37" s="232"/>
      <c r="BU37" s="232"/>
      <c r="BV37" s="232"/>
      <c r="BW37" s="232"/>
      <c r="BX37" s="232"/>
      <c r="BY37" s="232"/>
      <c r="BZ37" s="232"/>
      <c r="CA37" s="232"/>
      <c r="CB37" s="232"/>
    </row>
    <row r="38" spans="2:80" x14ac:dyDescent="0.2">
      <c r="B38" s="234" t="s">
        <v>48</v>
      </c>
      <c r="C38" s="235" t="s">
        <v>37</v>
      </c>
      <c r="E38" s="232"/>
      <c r="F38" s="232"/>
      <c r="G38" s="232"/>
      <c r="H38" s="232"/>
      <c r="I38" s="232"/>
      <c r="J38" s="232"/>
      <c r="K38" s="232"/>
      <c r="L38" s="232"/>
      <c r="M38" s="232">
        <f t="shared" ref="M38:W38" si="27">M41-M35</f>
        <v>-4.3000000000000007</v>
      </c>
      <c r="N38" s="232">
        <f t="shared" si="27"/>
        <v>-5</v>
      </c>
      <c r="O38" s="232">
        <f t="shared" si="27"/>
        <v>-3.3000000000000007</v>
      </c>
      <c r="P38" s="232">
        <f t="shared" si="27"/>
        <v>-3.5</v>
      </c>
      <c r="Q38" s="232">
        <f t="shared" si="27"/>
        <v>-10.899999999999999</v>
      </c>
      <c r="R38" s="232">
        <f t="shared" si="27"/>
        <v>-13</v>
      </c>
      <c r="S38" s="232">
        <f t="shared" si="27"/>
        <v>-13.900000000000006</v>
      </c>
      <c r="T38" s="232">
        <f t="shared" si="27"/>
        <v>-12.899999999999999</v>
      </c>
      <c r="U38" s="232">
        <f t="shared" si="27"/>
        <v>-13.799999999999997</v>
      </c>
      <c r="V38" s="232">
        <f t="shared" si="27"/>
        <v>-18</v>
      </c>
      <c r="W38" s="232">
        <f t="shared" si="27"/>
        <v>-12.099999999999994</v>
      </c>
      <c r="X38" s="232">
        <f t="shared" ref="X38" si="28">X41-X35</f>
        <v>-13.200000000000003</v>
      </c>
      <c r="Y38" s="598">
        <f>Y29*Y39</f>
        <v>-14.89752</v>
      </c>
      <c r="Z38" s="598">
        <f>Z29*Z39</f>
        <v>-17.984867999999999</v>
      </c>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232"/>
      <c r="AX38" s="232"/>
      <c r="AY38" s="232"/>
      <c r="AZ38" s="232"/>
      <c r="BA38" s="232"/>
      <c r="BB38" s="232"/>
      <c r="BC38" s="232"/>
      <c r="BD38" s="232"/>
      <c r="BE38" s="232"/>
      <c r="BF38" s="232"/>
      <c r="BG38" s="232"/>
      <c r="BH38" s="232"/>
      <c r="BI38" s="232"/>
      <c r="BJ38" s="232"/>
      <c r="BK38" s="232"/>
      <c r="BL38" s="232"/>
      <c r="BM38" s="232"/>
      <c r="BN38" s="232"/>
      <c r="BO38" s="232"/>
      <c r="BP38" s="232"/>
      <c r="BQ38" s="232"/>
      <c r="BR38" s="232"/>
      <c r="BS38" s="232"/>
      <c r="BT38" s="232"/>
      <c r="BU38" s="232"/>
      <c r="BV38" s="232"/>
      <c r="BW38" s="232"/>
      <c r="BX38" s="232"/>
      <c r="BY38" s="232"/>
      <c r="BZ38" s="232"/>
      <c r="CA38" s="232"/>
      <c r="CB38" s="232"/>
    </row>
    <row r="39" spans="2:80" x14ac:dyDescent="0.2">
      <c r="B39" s="413" t="s">
        <v>49</v>
      </c>
      <c r="C39" s="205" t="s">
        <v>39</v>
      </c>
      <c r="E39" s="240"/>
      <c r="F39" s="240"/>
      <c r="G39" s="240"/>
      <c r="H39" s="240"/>
      <c r="I39" s="240"/>
      <c r="J39" s="240"/>
      <c r="K39" s="240"/>
      <c r="L39" s="240"/>
      <c r="M39" s="240">
        <f t="shared" ref="M39:W39" si="29">M38/M29</f>
        <v>-2.9881862404447537E-2</v>
      </c>
      <c r="N39" s="240">
        <f t="shared" si="29"/>
        <v>-3.2299741602067181E-2</v>
      </c>
      <c r="O39" s="240">
        <f t="shared" si="29"/>
        <v>-2.3706896551724144E-2</v>
      </c>
      <c r="P39" s="240">
        <f t="shared" si="29"/>
        <v>-2.2786458333333336E-2</v>
      </c>
      <c r="Q39" s="240">
        <f t="shared" si="29"/>
        <v>-3.8032100488485689E-2</v>
      </c>
      <c r="R39" s="240">
        <f t="shared" si="29"/>
        <v>-3.6414565826330535E-2</v>
      </c>
      <c r="S39" s="240">
        <f t="shared" si="29"/>
        <v>-3.696808510638299E-2</v>
      </c>
      <c r="T39" s="240">
        <f t="shared" si="29"/>
        <v>-3.2290362953692114E-2</v>
      </c>
      <c r="U39" s="240">
        <f t="shared" si="29"/>
        <v>-3.8016528925619825E-2</v>
      </c>
      <c r="V39" s="240">
        <f t="shared" si="29"/>
        <v>-4.0504050405040508E-2</v>
      </c>
      <c r="W39" s="240">
        <f t="shared" si="29"/>
        <v>-3.1592689295039153E-2</v>
      </c>
      <c r="X39" s="240">
        <f t="shared" ref="X39" si="30">X38/X29</f>
        <v>-3.264902300272076E-2</v>
      </c>
      <c r="Y39" s="408">
        <v>-3.5999999999999997E-2</v>
      </c>
      <c r="Z39" s="408">
        <v>-3.7999999999999999E-2</v>
      </c>
      <c r="AA39" s="232"/>
      <c r="AB39" s="232"/>
      <c r="AC39" s="232"/>
      <c r="AD39" s="232"/>
      <c r="AE39" s="232"/>
      <c r="AF39" s="232"/>
      <c r="AG39" s="232"/>
      <c r="AH39" s="232"/>
      <c r="AI39" s="232"/>
      <c r="AJ39" s="232"/>
      <c r="AK39" s="232"/>
      <c r="AL39" s="232"/>
      <c r="AM39" s="232"/>
      <c r="AN39" s="232"/>
      <c r="AO39" s="232"/>
      <c r="AP39" s="232"/>
      <c r="AQ39" s="232"/>
      <c r="AR39" s="232"/>
      <c r="AS39" s="232"/>
      <c r="AT39" s="232"/>
      <c r="AU39" s="232"/>
      <c r="AV39" s="232"/>
      <c r="AW39" s="232"/>
      <c r="AX39" s="232"/>
      <c r="AY39" s="232"/>
      <c r="AZ39" s="232"/>
      <c r="BA39" s="232"/>
      <c r="BB39" s="232"/>
      <c r="BC39" s="232"/>
      <c r="BD39" s="232"/>
      <c r="BE39" s="232"/>
      <c r="BF39" s="232"/>
      <c r="BG39" s="232"/>
      <c r="BH39" s="232"/>
      <c r="BI39" s="232"/>
      <c r="BJ39" s="232"/>
      <c r="BK39" s="232"/>
      <c r="BL39" s="232"/>
      <c r="BM39" s="232"/>
      <c r="BN39" s="232"/>
      <c r="BO39" s="232"/>
      <c r="BP39" s="232"/>
      <c r="BQ39" s="232"/>
      <c r="BR39" s="232"/>
      <c r="BS39" s="232"/>
      <c r="BT39" s="232"/>
      <c r="BU39" s="232"/>
      <c r="BV39" s="232"/>
      <c r="BW39" s="232"/>
      <c r="BX39" s="232"/>
      <c r="BY39" s="232"/>
      <c r="BZ39" s="232"/>
      <c r="CA39" s="232"/>
      <c r="CB39" s="232"/>
    </row>
    <row r="40" spans="2:80" x14ac:dyDescent="0.2">
      <c r="B40" s="226"/>
      <c r="C40" s="230"/>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2"/>
      <c r="AX40" s="232"/>
      <c r="AY40" s="232"/>
      <c r="AZ40" s="232"/>
      <c r="BA40" s="232"/>
      <c r="BB40" s="232"/>
      <c r="BC40" s="232"/>
      <c r="BD40" s="232"/>
      <c r="BE40" s="232"/>
      <c r="BF40" s="232"/>
      <c r="BG40" s="232"/>
      <c r="BH40" s="232"/>
      <c r="BI40" s="232"/>
      <c r="BJ40" s="232"/>
      <c r="BK40" s="232"/>
      <c r="BL40" s="232"/>
      <c r="BM40" s="232"/>
      <c r="BN40" s="232"/>
      <c r="BO40" s="232"/>
      <c r="BP40" s="232"/>
      <c r="BQ40" s="232"/>
      <c r="BR40" s="232"/>
      <c r="BS40" s="232"/>
      <c r="BT40" s="232"/>
      <c r="BU40" s="232"/>
      <c r="BV40" s="232"/>
      <c r="BW40" s="232"/>
      <c r="BX40" s="232"/>
      <c r="BY40" s="232"/>
      <c r="BZ40" s="232"/>
      <c r="CA40" s="232"/>
      <c r="CB40" s="232"/>
    </row>
    <row r="41" spans="2:80" x14ac:dyDescent="0.2">
      <c r="B41" s="239" t="s">
        <v>43</v>
      </c>
      <c r="C41" s="241" t="s">
        <v>37</v>
      </c>
      <c r="E41" s="257"/>
      <c r="F41" s="257"/>
      <c r="G41" s="257"/>
      <c r="H41" s="257"/>
      <c r="I41" s="257"/>
      <c r="J41" s="257"/>
      <c r="K41" s="257"/>
      <c r="L41" s="257"/>
      <c r="M41" s="257">
        <v>14.5</v>
      </c>
      <c r="N41" s="257">
        <v>16.2</v>
      </c>
      <c r="O41" s="257">
        <v>15.3</v>
      </c>
      <c r="P41" s="257">
        <v>17.3</v>
      </c>
      <c r="Q41" s="257">
        <v>27.9</v>
      </c>
      <c r="R41" s="257">
        <v>39.200000000000003</v>
      </c>
      <c r="S41" s="257">
        <v>37.799999999999997</v>
      </c>
      <c r="T41" s="257">
        <v>40.200000000000003</v>
      </c>
      <c r="U41" s="257">
        <v>38</v>
      </c>
      <c r="V41" s="257">
        <v>37.9</v>
      </c>
      <c r="W41" s="257">
        <v>38.200000000000003</v>
      </c>
      <c r="X41" s="257">
        <v>43.9</v>
      </c>
      <c r="Y41" s="229">
        <f>Y35+Y38</f>
        <v>44.278739999999999</v>
      </c>
      <c r="Z41" s="229">
        <f>Z35+Z38</f>
        <v>49.695029999999981</v>
      </c>
      <c r="AA41" s="232"/>
      <c r="AB41" s="232"/>
      <c r="AC41" s="232"/>
      <c r="AD41" s="232"/>
      <c r="AE41" s="232"/>
      <c r="AF41" s="232"/>
      <c r="AG41" s="232"/>
      <c r="AH41" s="232"/>
      <c r="AI41" s="232"/>
      <c r="AJ41" s="232"/>
      <c r="AK41" s="232"/>
      <c r="AL41" s="232"/>
      <c r="AM41" s="232"/>
      <c r="AN41" s="232"/>
      <c r="AO41" s="232"/>
      <c r="AP41" s="232"/>
      <c r="AQ41" s="232"/>
      <c r="AR41" s="232"/>
      <c r="AS41" s="232"/>
      <c r="AT41" s="232"/>
      <c r="AU41" s="232"/>
      <c r="AV41" s="232"/>
      <c r="AW41" s="232"/>
      <c r="AX41" s="232"/>
      <c r="AY41" s="232"/>
      <c r="AZ41" s="232"/>
      <c r="BA41" s="232"/>
      <c r="BB41" s="232"/>
      <c r="BC41" s="232"/>
      <c r="BD41" s="232"/>
      <c r="BE41" s="232"/>
      <c r="BF41" s="232"/>
      <c r="BG41" s="232"/>
      <c r="BH41" s="232"/>
      <c r="BI41" s="232"/>
      <c r="BJ41" s="232"/>
      <c r="BK41" s="232"/>
      <c r="BL41" s="232"/>
      <c r="BM41" s="232"/>
      <c r="BN41" s="232"/>
      <c r="BO41" s="232"/>
      <c r="BP41" s="232"/>
      <c r="BQ41" s="232"/>
      <c r="BR41" s="232"/>
      <c r="BS41" s="232"/>
      <c r="BT41" s="232"/>
      <c r="BU41" s="232"/>
      <c r="BV41" s="232"/>
      <c r="BW41" s="232"/>
      <c r="BX41" s="232"/>
      <c r="BY41" s="232"/>
      <c r="BZ41" s="232"/>
      <c r="CA41" s="232"/>
      <c r="CB41" s="232"/>
    </row>
    <row r="42" spans="2:80" x14ac:dyDescent="0.2">
      <c r="B42" s="226" t="s">
        <v>47</v>
      </c>
      <c r="C42" s="205" t="s">
        <v>39</v>
      </c>
      <c r="E42" s="240"/>
      <c r="F42" s="240"/>
      <c r="G42" s="240"/>
      <c r="H42" s="240"/>
      <c r="I42" s="240"/>
      <c r="J42" s="240"/>
      <c r="K42" s="240"/>
      <c r="L42" s="240"/>
      <c r="M42" s="240">
        <f t="shared" ref="M42:W42" si="31">M41/M29</f>
        <v>0.10076441973592773</v>
      </c>
      <c r="N42" s="240">
        <f t="shared" si="31"/>
        <v>0.10465116279069767</v>
      </c>
      <c r="O42" s="240">
        <f t="shared" si="31"/>
        <v>0.10991379310344829</v>
      </c>
      <c r="P42" s="240">
        <f t="shared" si="31"/>
        <v>0.11263020833333334</v>
      </c>
      <c r="Q42" s="240">
        <f t="shared" si="31"/>
        <v>9.7348220516399145E-2</v>
      </c>
      <c r="R42" s="240">
        <f t="shared" si="31"/>
        <v>0.10980392156862746</v>
      </c>
      <c r="S42" s="240">
        <f t="shared" si="31"/>
        <v>0.10053191489361701</v>
      </c>
      <c r="T42" s="240">
        <f t="shared" si="31"/>
        <v>0.10062578222778473</v>
      </c>
      <c r="U42" s="240">
        <f t="shared" si="31"/>
        <v>0.1046831955922865</v>
      </c>
      <c r="V42" s="240">
        <f t="shared" si="31"/>
        <v>8.5283528352835286E-2</v>
      </c>
      <c r="W42" s="240">
        <f t="shared" si="31"/>
        <v>9.9738903394255882E-2</v>
      </c>
      <c r="X42" s="240">
        <f t="shared" ref="X42:Z42" si="32">X41/X29</f>
        <v>0.10858273559238189</v>
      </c>
      <c r="Y42" s="240">
        <f t="shared" si="32"/>
        <v>0.10699999999999998</v>
      </c>
      <c r="Z42" s="240">
        <f t="shared" si="32"/>
        <v>0.10499999999999997</v>
      </c>
      <c r="AA42" s="232"/>
      <c r="AB42" s="232"/>
      <c r="AC42" s="232"/>
      <c r="AD42" s="232"/>
      <c r="AE42" s="232"/>
      <c r="AF42" s="232"/>
      <c r="AG42" s="232"/>
      <c r="AH42" s="232"/>
      <c r="AI42" s="232"/>
      <c r="AJ42" s="232"/>
      <c r="AK42" s="232"/>
      <c r="AL42" s="232"/>
      <c r="AM42" s="232"/>
      <c r="AN42" s="232"/>
      <c r="AO42" s="232"/>
      <c r="AP42" s="232"/>
      <c r="AQ42" s="232"/>
      <c r="AR42" s="232"/>
      <c r="AS42" s="232"/>
      <c r="AT42" s="232"/>
      <c r="AU42" s="232"/>
      <c r="AV42" s="232"/>
      <c r="AW42" s="232"/>
      <c r="AX42" s="232"/>
      <c r="AY42" s="232"/>
      <c r="AZ42" s="232"/>
      <c r="BA42" s="232"/>
      <c r="BB42" s="232"/>
      <c r="BC42" s="232"/>
      <c r="BD42" s="232"/>
      <c r="BE42" s="232"/>
      <c r="BF42" s="232"/>
      <c r="BG42" s="232"/>
      <c r="BH42" s="232"/>
      <c r="BI42" s="232"/>
      <c r="BJ42" s="232"/>
      <c r="BK42" s="232"/>
      <c r="BL42" s="232"/>
      <c r="BM42" s="232"/>
      <c r="BN42" s="232"/>
      <c r="BO42" s="232"/>
      <c r="BP42" s="232"/>
      <c r="BQ42" s="232"/>
      <c r="BR42" s="232"/>
      <c r="BS42" s="232"/>
      <c r="BT42" s="232"/>
      <c r="BU42" s="232"/>
      <c r="BV42" s="232"/>
      <c r="BW42" s="232"/>
      <c r="BX42" s="232"/>
      <c r="BY42" s="232"/>
      <c r="BZ42" s="232"/>
      <c r="CA42" s="232"/>
      <c r="CB42" s="232"/>
    </row>
    <row r="43" spans="2:80" x14ac:dyDescent="0.2">
      <c r="B43" s="226" t="s">
        <v>38</v>
      </c>
      <c r="C43" s="205" t="s">
        <v>39</v>
      </c>
      <c r="E43" s="240"/>
      <c r="F43" s="240"/>
      <c r="G43" s="240"/>
      <c r="H43" s="240"/>
      <c r="I43" s="240"/>
      <c r="J43" s="240"/>
      <c r="K43" s="240"/>
      <c r="L43" s="240"/>
      <c r="M43" s="240" t="e">
        <f t="shared" ref="M43:X43" si="33">M41/I41-1</f>
        <v>#DIV/0!</v>
      </c>
      <c r="N43" s="240" t="e">
        <f t="shared" si="33"/>
        <v>#DIV/0!</v>
      </c>
      <c r="O43" s="240" t="e">
        <f t="shared" si="33"/>
        <v>#DIV/0!</v>
      </c>
      <c r="P43" s="240" t="e">
        <f t="shared" si="33"/>
        <v>#DIV/0!</v>
      </c>
      <c r="Q43" s="240">
        <f t="shared" si="33"/>
        <v>0.92413793103448261</v>
      </c>
      <c r="R43" s="240">
        <f t="shared" si="33"/>
        <v>1.4197530864197532</v>
      </c>
      <c r="S43" s="240">
        <f t="shared" si="33"/>
        <v>1.4705882352941173</v>
      </c>
      <c r="T43" s="240">
        <f t="shared" si="33"/>
        <v>1.3236994219653182</v>
      </c>
      <c r="U43" s="240">
        <f t="shared" si="33"/>
        <v>0.36200716845878134</v>
      </c>
      <c r="V43" s="240">
        <f t="shared" si="33"/>
        <v>-3.3163265306122569E-2</v>
      </c>
      <c r="W43" s="240">
        <f t="shared" si="33"/>
        <v>1.0582010582010692E-2</v>
      </c>
      <c r="X43" s="240">
        <f t="shared" si="33"/>
        <v>9.2039800995024734E-2</v>
      </c>
      <c r="Y43" s="240">
        <f t="shared" ref="Y43" si="34">Y41/U41-1</f>
        <v>0.16522999999999999</v>
      </c>
      <c r="Z43" s="240">
        <f t="shared" ref="Z43" si="35">Z41/V41-1</f>
        <v>0.31121451187335047</v>
      </c>
      <c r="AA43" s="232"/>
      <c r="AB43" s="232"/>
      <c r="AC43" s="232"/>
      <c r="AD43" s="232"/>
      <c r="AE43" s="232"/>
      <c r="AF43" s="232"/>
      <c r="AG43" s="232"/>
      <c r="AH43" s="232"/>
      <c r="AI43" s="232"/>
      <c r="AJ43" s="232"/>
      <c r="AK43" s="232"/>
      <c r="AL43" s="232"/>
      <c r="AM43" s="232"/>
      <c r="AN43" s="232"/>
      <c r="AO43" s="232"/>
      <c r="AP43" s="232"/>
      <c r="AQ43" s="232"/>
      <c r="AR43" s="232"/>
      <c r="AS43" s="232"/>
      <c r="AT43" s="232"/>
      <c r="AU43" s="232"/>
      <c r="AV43" s="232"/>
      <c r="AW43" s="232"/>
      <c r="AX43" s="232"/>
      <c r="AY43" s="232"/>
      <c r="AZ43" s="232"/>
      <c r="BA43" s="232"/>
      <c r="BB43" s="232"/>
      <c r="BC43" s="232"/>
      <c r="BD43" s="232"/>
      <c r="BE43" s="232"/>
      <c r="BF43" s="232"/>
      <c r="BG43" s="232"/>
      <c r="BH43" s="232"/>
      <c r="BI43" s="232"/>
      <c r="BJ43" s="232"/>
      <c r="BK43" s="232"/>
      <c r="BL43" s="232"/>
      <c r="BM43" s="232"/>
      <c r="BN43" s="232"/>
      <c r="BO43" s="232"/>
      <c r="BP43" s="232"/>
      <c r="BQ43" s="232"/>
      <c r="BR43" s="232"/>
      <c r="BS43" s="232"/>
      <c r="BT43" s="232"/>
      <c r="BU43" s="232"/>
      <c r="BV43" s="232"/>
      <c r="BW43" s="232"/>
      <c r="BX43" s="232"/>
      <c r="BY43" s="232"/>
      <c r="BZ43" s="232"/>
      <c r="CA43" s="232"/>
      <c r="CB43" s="232"/>
    </row>
    <row r="44" spans="2:80" x14ac:dyDescent="0.2">
      <c r="B44" s="226"/>
      <c r="C44" s="230"/>
      <c r="E44" s="232"/>
      <c r="F44" s="232"/>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2"/>
      <c r="AK44" s="232"/>
      <c r="AL44" s="232"/>
      <c r="AM44" s="232"/>
      <c r="AN44" s="232"/>
      <c r="AO44" s="232"/>
      <c r="AP44" s="232"/>
      <c r="AQ44" s="232"/>
      <c r="AR44" s="232"/>
      <c r="AS44" s="232"/>
      <c r="AT44" s="232"/>
      <c r="AU44" s="232"/>
      <c r="AV44" s="232"/>
      <c r="AW44" s="232"/>
      <c r="AX44" s="232"/>
      <c r="AY44" s="232"/>
      <c r="AZ44" s="232"/>
      <c r="BA44" s="232"/>
      <c r="BB44" s="232"/>
      <c r="BC44" s="232"/>
      <c r="BD44" s="232"/>
      <c r="BE44" s="232"/>
      <c r="BF44" s="232"/>
      <c r="BG44" s="232"/>
      <c r="BH44" s="232"/>
      <c r="BI44" s="232"/>
      <c r="BJ44" s="232"/>
      <c r="BK44" s="232"/>
      <c r="BL44" s="232"/>
      <c r="BM44" s="232"/>
      <c r="BN44" s="232"/>
      <c r="BO44" s="232"/>
      <c r="BP44" s="232"/>
      <c r="BQ44" s="232"/>
      <c r="BR44" s="232"/>
      <c r="BS44" s="232"/>
      <c r="BT44" s="232"/>
      <c r="BU44" s="232"/>
      <c r="BV44" s="232"/>
      <c r="BW44" s="232"/>
      <c r="BX44" s="232"/>
      <c r="BY44" s="232"/>
      <c r="BZ44" s="232"/>
      <c r="CA44" s="232"/>
      <c r="CB44" s="232"/>
    </row>
    <row r="45" spans="2:80" x14ac:dyDescent="0.2">
      <c r="B45" s="226" t="s">
        <v>1178</v>
      </c>
      <c r="C45" s="230"/>
      <c r="E45" s="232"/>
      <c r="F45" s="232"/>
      <c r="G45" s="232"/>
      <c r="H45" s="232"/>
      <c r="I45" s="232"/>
      <c r="J45" s="232"/>
      <c r="K45" s="232"/>
      <c r="L45" s="232"/>
      <c r="M45" s="232"/>
      <c r="N45" s="232"/>
      <c r="O45" s="232"/>
      <c r="P45" s="232"/>
      <c r="Q45" s="232"/>
      <c r="R45" s="232"/>
      <c r="S45" s="232"/>
      <c r="T45" s="232"/>
      <c r="U45" s="232"/>
      <c r="V45" s="408">
        <f>V42+1.75%</f>
        <v>0.10278352835283529</v>
      </c>
      <c r="W45" s="232"/>
      <c r="X45" s="232"/>
      <c r="Y45" s="232"/>
      <c r="Z45" s="232"/>
      <c r="AA45" s="232"/>
      <c r="AB45" s="232"/>
      <c r="AC45" s="232"/>
      <c r="AD45" s="232"/>
      <c r="AE45" s="232"/>
      <c r="AF45" s="232"/>
      <c r="AG45" s="232"/>
      <c r="AH45" s="232"/>
      <c r="AI45" s="232"/>
      <c r="AJ45" s="232"/>
      <c r="AK45" s="232"/>
      <c r="AL45" s="232"/>
      <c r="AM45" s="232"/>
      <c r="AN45" s="232"/>
      <c r="AO45" s="232"/>
      <c r="AP45" s="232"/>
      <c r="AQ45" s="232"/>
      <c r="AR45" s="232"/>
      <c r="AS45" s="232"/>
      <c r="AT45" s="232"/>
      <c r="AU45" s="232"/>
      <c r="AV45" s="232"/>
      <c r="AW45" s="232"/>
      <c r="AX45" s="232"/>
      <c r="AY45" s="232"/>
      <c r="AZ45" s="232"/>
      <c r="BA45" s="232"/>
      <c r="BB45" s="232"/>
      <c r="BC45" s="232"/>
      <c r="BD45" s="232"/>
      <c r="BE45" s="232"/>
      <c r="BF45" s="232"/>
      <c r="BG45" s="232"/>
      <c r="BH45" s="232"/>
      <c r="BI45" s="232"/>
      <c r="BJ45" s="232"/>
      <c r="BK45" s="232"/>
      <c r="BL45" s="232"/>
      <c r="BM45" s="232"/>
      <c r="BN45" s="232"/>
      <c r="BO45" s="232"/>
      <c r="BP45" s="232"/>
      <c r="BQ45" s="232"/>
      <c r="BR45" s="232"/>
      <c r="BS45" s="232"/>
      <c r="BT45" s="232"/>
      <c r="BU45" s="232"/>
      <c r="BV45" s="232"/>
      <c r="BW45" s="232"/>
      <c r="BX45" s="232"/>
      <c r="BY45" s="232"/>
      <c r="BZ45" s="232"/>
      <c r="CA45" s="232"/>
      <c r="CB45" s="232"/>
    </row>
    <row r="46" spans="2:80" x14ac:dyDescent="0.2">
      <c r="B46" s="226" t="s">
        <v>1179</v>
      </c>
      <c r="C46" s="230"/>
      <c r="E46" s="232"/>
      <c r="F46" s="232"/>
      <c r="G46" s="232"/>
      <c r="H46" s="232"/>
      <c r="I46" s="232"/>
      <c r="J46" s="232"/>
      <c r="K46" s="232"/>
      <c r="L46" s="232"/>
      <c r="M46" s="232"/>
      <c r="N46" s="232"/>
      <c r="O46" s="232"/>
      <c r="P46" s="232"/>
      <c r="Q46" s="232"/>
      <c r="R46" s="232"/>
      <c r="S46" s="232"/>
      <c r="T46" s="232"/>
      <c r="U46" s="232"/>
      <c r="V46" s="232">
        <f>V29*V45</f>
        <v>45.677</v>
      </c>
      <c r="W46" s="232"/>
      <c r="X46" s="232"/>
      <c r="Y46" s="232"/>
      <c r="Z46" s="232"/>
      <c r="AA46" s="232"/>
      <c r="AB46" s="232"/>
      <c r="AC46" s="232"/>
      <c r="AD46" s="232"/>
      <c r="AE46" s="232"/>
      <c r="AF46" s="232"/>
      <c r="AG46" s="232"/>
      <c r="AH46" s="232"/>
      <c r="AI46" s="232"/>
      <c r="AJ46" s="232"/>
      <c r="AK46" s="232"/>
      <c r="AL46" s="232"/>
      <c r="AM46" s="232"/>
      <c r="AN46" s="232"/>
      <c r="AO46" s="232"/>
      <c r="AP46" s="232"/>
      <c r="AQ46" s="232"/>
      <c r="AR46" s="232"/>
      <c r="AS46" s="232"/>
      <c r="AT46" s="232"/>
      <c r="AU46" s="232"/>
      <c r="AV46" s="232"/>
      <c r="AW46" s="232"/>
      <c r="AX46" s="232"/>
      <c r="AY46" s="232"/>
      <c r="AZ46" s="232"/>
      <c r="BA46" s="232"/>
      <c r="BB46" s="232"/>
      <c r="BC46" s="232"/>
      <c r="BD46" s="232"/>
      <c r="BE46" s="232"/>
      <c r="BF46" s="232"/>
      <c r="BG46" s="232"/>
      <c r="BH46" s="232"/>
      <c r="BI46" s="232"/>
      <c r="BJ46" s="232"/>
      <c r="BK46" s="232"/>
      <c r="BL46" s="232"/>
      <c r="BM46" s="232"/>
      <c r="BN46" s="232"/>
      <c r="BO46" s="232"/>
      <c r="BP46" s="232"/>
      <c r="BQ46" s="232"/>
      <c r="BR46" s="232"/>
      <c r="BS46" s="232"/>
      <c r="BT46" s="232"/>
      <c r="BU46" s="232"/>
      <c r="BV46" s="232"/>
      <c r="BW46" s="232"/>
      <c r="BX46" s="232"/>
      <c r="BY46" s="232"/>
      <c r="BZ46" s="232"/>
      <c r="CA46" s="232"/>
      <c r="CB46" s="232"/>
    </row>
    <row r="47" spans="2:80" x14ac:dyDescent="0.2">
      <c r="B47" s="226"/>
      <c r="C47" s="230"/>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32"/>
      <c r="AR47" s="232"/>
      <c r="AS47" s="232"/>
      <c r="AT47" s="232"/>
      <c r="AU47" s="232"/>
      <c r="AV47" s="232"/>
      <c r="AW47" s="232"/>
      <c r="AX47" s="232"/>
      <c r="AY47" s="232"/>
      <c r="AZ47" s="232"/>
      <c r="BA47" s="232"/>
      <c r="BB47" s="232"/>
      <c r="BC47" s="232"/>
      <c r="BD47" s="232"/>
      <c r="BE47" s="232"/>
      <c r="BF47" s="232"/>
      <c r="BG47" s="232"/>
      <c r="BH47" s="232"/>
      <c r="BI47" s="232"/>
      <c r="BJ47" s="232"/>
      <c r="BK47" s="232"/>
      <c r="BL47" s="232"/>
      <c r="BM47" s="232"/>
      <c r="BN47" s="232"/>
      <c r="BO47" s="232"/>
      <c r="BP47" s="232"/>
      <c r="BQ47" s="232"/>
      <c r="BR47" s="232"/>
      <c r="BS47" s="232"/>
      <c r="BT47" s="232"/>
      <c r="BU47" s="232"/>
      <c r="BV47" s="232"/>
      <c r="BW47" s="232"/>
      <c r="BX47" s="232"/>
      <c r="BY47" s="232"/>
      <c r="BZ47" s="232"/>
      <c r="CA47" s="232"/>
      <c r="CB47" s="232"/>
    </row>
    <row r="48" spans="2:80" x14ac:dyDescent="0.2">
      <c r="B48" s="239" t="s">
        <v>121</v>
      </c>
      <c r="C48" s="241"/>
      <c r="E48" s="257"/>
      <c r="F48" s="257"/>
      <c r="G48" s="257"/>
      <c r="H48" s="257"/>
      <c r="I48" s="257"/>
      <c r="J48" s="257"/>
      <c r="K48" s="257"/>
      <c r="L48" s="257"/>
      <c r="M48" s="257"/>
      <c r="N48" s="257"/>
      <c r="O48" s="257"/>
      <c r="P48" s="257"/>
      <c r="Q48" s="257">
        <v>-2.9</v>
      </c>
      <c r="R48" s="257">
        <v>-7</v>
      </c>
      <c r="S48" s="257">
        <v>-3.6</v>
      </c>
      <c r="T48" s="257">
        <v>-5.5</v>
      </c>
      <c r="U48" s="257">
        <v>-11.5</v>
      </c>
      <c r="V48" s="257">
        <v>-10.3</v>
      </c>
      <c r="W48" s="257">
        <v>-7.7023000000000001</v>
      </c>
      <c r="X48" s="257">
        <v>-4.0541999999999998</v>
      </c>
      <c r="Y48" s="229"/>
      <c r="Z48" s="229"/>
      <c r="AA48" s="229"/>
      <c r="AB48" s="229"/>
      <c r="AC48" s="229"/>
      <c r="AD48" s="229"/>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229"/>
      <c r="BC48" s="229"/>
      <c r="BD48" s="229"/>
      <c r="BE48" s="229"/>
      <c r="BF48" s="229"/>
      <c r="BG48" s="229"/>
      <c r="BH48" s="229"/>
      <c r="BI48" s="229"/>
      <c r="BJ48" s="229"/>
      <c r="BK48" s="229"/>
      <c r="BL48" s="229"/>
      <c r="BM48" s="229"/>
      <c r="BN48" s="229"/>
      <c r="BO48" s="229"/>
      <c r="BP48" s="229"/>
      <c r="BQ48" s="229"/>
      <c r="BR48" s="229"/>
      <c r="BS48" s="229"/>
      <c r="BT48" s="229"/>
      <c r="BU48" s="229"/>
      <c r="BV48" s="229"/>
      <c r="BW48" s="229"/>
      <c r="BX48" s="229"/>
      <c r="BY48" s="229"/>
      <c r="BZ48" s="229"/>
      <c r="CA48" s="229"/>
      <c r="CB48" s="229"/>
    </row>
    <row r="49" spans="2:80" x14ac:dyDescent="0.2">
      <c r="B49" s="226" t="s">
        <v>113</v>
      </c>
      <c r="E49" s="240"/>
      <c r="F49" s="240"/>
      <c r="G49" s="240"/>
      <c r="H49" s="240"/>
      <c r="I49" s="240"/>
      <c r="J49" s="240"/>
      <c r="K49" s="240"/>
      <c r="L49" s="240"/>
      <c r="M49" s="240">
        <f t="shared" ref="M49:X49" si="36">M48/M29</f>
        <v>0</v>
      </c>
      <c r="N49" s="240">
        <f t="shared" si="36"/>
        <v>0</v>
      </c>
      <c r="O49" s="240">
        <f t="shared" si="36"/>
        <v>0</v>
      </c>
      <c r="P49" s="240">
        <f t="shared" si="36"/>
        <v>0</v>
      </c>
      <c r="Q49" s="240">
        <f t="shared" si="36"/>
        <v>-1.0118632240055827E-2</v>
      </c>
      <c r="R49" s="240">
        <f t="shared" si="36"/>
        <v>-1.9607843137254902E-2</v>
      </c>
      <c r="S49" s="240">
        <f t="shared" si="36"/>
        <v>-9.5744680851063829E-3</v>
      </c>
      <c r="T49" s="240">
        <f t="shared" si="36"/>
        <v>-1.3767209011264081E-2</v>
      </c>
      <c r="U49" s="240">
        <f t="shared" si="36"/>
        <v>-3.1680440771349863E-2</v>
      </c>
      <c r="V49" s="240">
        <f t="shared" si="36"/>
        <v>-2.317731773177318E-2</v>
      </c>
      <c r="W49" s="240">
        <f t="shared" si="36"/>
        <v>-2.0110443864229766E-2</v>
      </c>
      <c r="X49" s="240">
        <f t="shared" si="36"/>
        <v>-1.002770220133564E-2</v>
      </c>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29"/>
      <c r="CA49" s="229"/>
      <c r="CB49" s="229"/>
    </row>
    <row r="50" spans="2:80" x14ac:dyDescent="0.2">
      <c r="B50" s="226" t="s">
        <v>122</v>
      </c>
      <c r="E50" s="240"/>
      <c r="F50" s="240"/>
      <c r="G50" s="240"/>
      <c r="H50" s="240"/>
      <c r="I50" s="240"/>
      <c r="J50" s="240"/>
      <c r="K50" s="240"/>
      <c r="L50" s="240"/>
      <c r="M50" s="240">
        <f t="shared" ref="M50:X50" si="37">M48/M41</f>
        <v>0</v>
      </c>
      <c r="N50" s="240">
        <f t="shared" si="37"/>
        <v>0</v>
      </c>
      <c r="O50" s="240">
        <f t="shared" si="37"/>
        <v>0</v>
      </c>
      <c r="P50" s="240">
        <f t="shared" si="37"/>
        <v>0</v>
      </c>
      <c r="Q50" s="240">
        <f t="shared" si="37"/>
        <v>-0.1039426523297491</v>
      </c>
      <c r="R50" s="240">
        <f t="shared" si="37"/>
        <v>-0.17857142857142855</v>
      </c>
      <c r="S50" s="240">
        <f t="shared" si="37"/>
        <v>-9.5238095238095247E-2</v>
      </c>
      <c r="T50" s="240">
        <f t="shared" si="37"/>
        <v>-0.13681592039800994</v>
      </c>
      <c r="U50" s="240">
        <f t="shared" si="37"/>
        <v>-0.30263157894736842</v>
      </c>
      <c r="V50" s="240">
        <f t="shared" si="37"/>
        <v>-0.27176781002638523</v>
      </c>
      <c r="W50" s="240">
        <f t="shared" si="37"/>
        <v>-0.20163089005235602</v>
      </c>
      <c r="X50" s="240">
        <f t="shared" si="37"/>
        <v>-9.2350797266514809E-2</v>
      </c>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29"/>
      <c r="BV50" s="229"/>
      <c r="BW50" s="229"/>
      <c r="BX50" s="229"/>
      <c r="BY50" s="229"/>
      <c r="BZ50" s="229"/>
      <c r="CA50" s="229"/>
      <c r="CB50" s="229"/>
    </row>
    <row r="51" spans="2:80" x14ac:dyDescent="0.2">
      <c r="B51" s="226"/>
      <c r="C51" s="230"/>
      <c r="E51" s="231"/>
      <c r="F51" s="231"/>
      <c r="G51" s="231"/>
      <c r="H51" s="231"/>
      <c r="I51" s="231"/>
      <c r="J51" s="231"/>
      <c r="K51" s="232"/>
      <c r="L51" s="232"/>
      <c r="M51" s="232"/>
      <c r="N51" s="232"/>
      <c r="O51" s="232"/>
      <c r="P51" s="232"/>
      <c r="Q51" s="232"/>
      <c r="R51" s="232"/>
      <c r="S51" s="232"/>
      <c r="T51" s="232"/>
      <c r="U51" s="232"/>
      <c r="V51" s="232"/>
      <c r="W51" s="232"/>
      <c r="X51" s="232"/>
      <c r="Y51" s="232"/>
      <c r="Z51" s="232"/>
      <c r="AA51" s="232"/>
      <c r="AB51" s="232"/>
      <c r="AC51" s="232"/>
      <c r="AD51" s="232"/>
      <c r="AE51" s="232"/>
      <c r="AF51" s="232"/>
      <c r="AG51" s="232"/>
      <c r="AH51" s="232"/>
      <c r="AI51" s="232"/>
      <c r="AJ51" s="232"/>
      <c r="AK51" s="232"/>
      <c r="AL51" s="232"/>
      <c r="AM51" s="232"/>
      <c r="AN51" s="232"/>
      <c r="AO51" s="232"/>
      <c r="AP51" s="232"/>
      <c r="AQ51" s="232"/>
      <c r="AR51" s="232"/>
      <c r="AS51" s="232"/>
      <c r="AT51" s="232"/>
      <c r="AU51" s="232"/>
      <c r="AV51" s="232"/>
      <c r="AW51" s="232"/>
      <c r="AX51" s="232"/>
      <c r="AY51" s="232"/>
      <c r="AZ51" s="232"/>
      <c r="BA51" s="232"/>
      <c r="BB51" s="232"/>
      <c r="BC51" s="232"/>
      <c r="BD51" s="232"/>
      <c r="BE51" s="232"/>
      <c r="BF51" s="232"/>
      <c r="BG51" s="232"/>
      <c r="BH51" s="232"/>
      <c r="BI51" s="232"/>
      <c r="BJ51" s="232"/>
      <c r="BK51" s="232"/>
      <c r="BL51" s="232"/>
      <c r="BM51" s="232"/>
      <c r="BN51" s="232"/>
      <c r="BO51" s="232"/>
      <c r="BP51" s="232"/>
      <c r="BQ51" s="232"/>
      <c r="BR51" s="232"/>
      <c r="BS51" s="232"/>
      <c r="BT51" s="232"/>
      <c r="BU51" s="232"/>
      <c r="BV51" s="232"/>
      <c r="BW51" s="232"/>
      <c r="BX51" s="232"/>
      <c r="BY51" s="232"/>
      <c r="BZ51" s="232"/>
      <c r="CA51" s="232"/>
      <c r="CB51" s="232"/>
    </row>
    <row r="52" spans="2:80" x14ac:dyDescent="0.2">
      <c r="B52" s="293" t="s">
        <v>1331</v>
      </c>
      <c r="C52" s="230"/>
      <c r="E52" s="231"/>
      <c r="F52" s="231"/>
      <c r="G52" s="231"/>
      <c r="H52" s="231"/>
      <c r="I52" s="231"/>
      <c r="J52" s="231"/>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2"/>
      <c r="AX52" s="232"/>
      <c r="AY52" s="232"/>
      <c r="AZ52" s="232"/>
      <c r="BA52" s="232"/>
      <c r="BB52" s="232"/>
      <c r="BC52" s="232"/>
      <c r="BD52" s="232"/>
      <c r="BE52" s="232"/>
      <c r="BF52" s="232"/>
      <c r="BG52" s="232"/>
      <c r="BH52" s="232"/>
      <c r="BI52" s="232"/>
      <c r="BJ52" s="232"/>
      <c r="BK52" s="232"/>
      <c r="BL52" s="232"/>
      <c r="BM52" s="232"/>
      <c r="BN52" s="232"/>
      <c r="BO52" s="232"/>
      <c r="BP52" s="232"/>
      <c r="BQ52" s="232"/>
      <c r="BR52" s="232"/>
      <c r="BS52" s="232"/>
      <c r="BT52" s="232"/>
      <c r="BU52" s="232"/>
      <c r="BV52" s="232"/>
      <c r="BW52" s="232"/>
      <c r="BX52" s="232"/>
      <c r="BY52" s="232"/>
      <c r="BZ52" s="232"/>
      <c r="CA52" s="232"/>
      <c r="CB52" s="232"/>
    </row>
    <row r="53" spans="2:80" x14ac:dyDescent="0.2">
      <c r="B53" s="413" t="s">
        <v>1180</v>
      </c>
      <c r="C53" s="230"/>
      <c r="E53" s="231"/>
      <c r="F53" s="231"/>
      <c r="G53" s="231"/>
      <c r="H53" s="231"/>
      <c r="I53" s="231"/>
      <c r="J53" s="231"/>
      <c r="K53" s="232"/>
      <c r="L53" s="232"/>
      <c r="M53" s="232"/>
      <c r="N53" s="232"/>
      <c r="O53" s="232"/>
      <c r="P53" s="232"/>
      <c r="Q53" s="231">
        <v>95.217300000000009</v>
      </c>
      <c r="R53" s="231">
        <v>124.1533</v>
      </c>
      <c r="S53" s="231">
        <v>123.82</v>
      </c>
      <c r="T53" s="231">
        <v>127.4679</v>
      </c>
      <c r="U53" s="231">
        <v>128.33199999999999</v>
      </c>
      <c r="V53" s="231">
        <v>155.3913</v>
      </c>
      <c r="W53" s="231">
        <v>136.53909999999999</v>
      </c>
      <c r="X53" s="231">
        <v>150.72450000000001</v>
      </c>
      <c r="Y53" s="232"/>
      <c r="Z53" s="232"/>
      <c r="AA53" s="232"/>
      <c r="AB53" s="232"/>
      <c r="AC53" s="232"/>
      <c r="AD53" s="232"/>
      <c r="AE53" s="232"/>
      <c r="AF53" s="232"/>
      <c r="AG53" s="232"/>
      <c r="AH53" s="232"/>
      <c r="AI53" s="232"/>
      <c r="AJ53" s="232"/>
      <c r="AK53" s="232"/>
      <c r="AL53" s="232"/>
      <c r="AM53" s="232"/>
      <c r="AN53" s="232"/>
      <c r="AO53" s="232"/>
      <c r="AP53" s="232"/>
      <c r="AQ53" s="232"/>
      <c r="AR53" s="232"/>
      <c r="AS53" s="232"/>
      <c r="AT53" s="232"/>
      <c r="AU53" s="232"/>
      <c r="AV53" s="232"/>
      <c r="AW53" s="232"/>
      <c r="AX53" s="232"/>
      <c r="AY53" s="232"/>
      <c r="AZ53" s="232"/>
      <c r="BA53" s="232"/>
      <c r="BB53" s="232"/>
      <c r="BC53" s="232"/>
      <c r="BD53" s="232"/>
      <c r="BE53" s="232"/>
      <c r="BF53" s="232"/>
      <c r="BG53" s="232"/>
      <c r="BH53" s="232"/>
      <c r="BI53" s="232"/>
      <c r="BJ53" s="232"/>
      <c r="BK53" s="232"/>
      <c r="BL53" s="232"/>
      <c r="BM53" s="232"/>
      <c r="BN53" s="232"/>
      <c r="BO53" s="232"/>
      <c r="BP53" s="232"/>
      <c r="BQ53" s="232"/>
      <c r="BR53" s="232"/>
      <c r="BS53" s="232"/>
      <c r="BT53" s="232"/>
      <c r="BU53" s="232"/>
      <c r="BV53" s="232"/>
      <c r="BW53" s="232"/>
      <c r="BX53" s="232"/>
      <c r="BY53" s="232"/>
      <c r="BZ53" s="232"/>
      <c r="CA53" s="232"/>
      <c r="CB53" s="232"/>
    </row>
    <row r="54" spans="2:80" x14ac:dyDescent="0.2">
      <c r="B54" s="413" t="s">
        <v>1181</v>
      </c>
      <c r="C54" s="230"/>
      <c r="E54" s="231"/>
      <c r="F54" s="231"/>
      <c r="G54" s="231"/>
      <c r="H54" s="231"/>
      <c r="I54" s="231"/>
      <c r="J54" s="231"/>
      <c r="K54" s="232"/>
      <c r="L54" s="232"/>
      <c r="M54" s="232"/>
      <c r="N54" s="232"/>
      <c r="O54" s="232"/>
      <c r="P54" s="232"/>
      <c r="Q54" s="231">
        <v>-72.212500000000006</v>
      </c>
      <c r="R54" s="231">
        <v>-86.819699999999997</v>
      </c>
      <c r="S54" s="231">
        <v>-84.813600000000008</v>
      </c>
      <c r="T54" s="231">
        <v>-95.5732</v>
      </c>
      <c r="U54" s="231">
        <v>-91.976500000000001</v>
      </c>
      <c r="V54" s="231">
        <v>-117.291</v>
      </c>
      <c r="W54" s="231">
        <v>-99.573899999999995</v>
      </c>
      <c r="X54" s="231">
        <v>-106.64109999999999</v>
      </c>
      <c r="Y54" s="232"/>
      <c r="Z54" s="232"/>
      <c r="AA54" s="232"/>
      <c r="AB54" s="232"/>
      <c r="AC54" s="232"/>
      <c r="AD54" s="232"/>
      <c r="AE54" s="232"/>
      <c r="AF54" s="232"/>
      <c r="AG54" s="232"/>
      <c r="AH54" s="232"/>
      <c r="AI54" s="232"/>
      <c r="AJ54" s="232"/>
      <c r="AK54" s="232"/>
      <c r="AL54" s="232"/>
      <c r="AM54" s="232"/>
      <c r="AN54" s="232"/>
      <c r="AO54" s="232"/>
      <c r="AP54" s="232"/>
      <c r="AQ54" s="232"/>
      <c r="AR54" s="232"/>
      <c r="AS54" s="232"/>
      <c r="AT54" s="232"/>
      <c r="AU54" s="232"/>
      <c r="AV54" s="232"/>
      <c r="AW54" s="232"/>
      <c r="AX54" s="232"/>
      <c r="AY54" s="232"/>
      <c r="AZ54" s="232"/>
      <c r="BA54" s="232"/>
      <c r="BB54" s="232"/>
      <c r="BC54" s="232"/>
      <c r="BD54" s="232"/>
      <c r="BE54" s="232"/>
      <c r="BF54" s="232"/>
      <c r="BG54" s="232"/>
      <c r="BH54" s="232"/>
      <c r="BI54" s="232"/>
      <c r="BJ54" s="232"/>
      <c r="BK54" s="232"/>
      <c r="BL54" s="232"/>
      <c r="BM54" s="232"/>
      <c r="BN54" s="232"/>
      <c r="BO54" s="232"/>
      <c r="BP54" s="232"/>
      <c r="BQ54" s="232"/>
      <c r="BR54" s="232"/>
      <c r="BS54" s="232"/>
      <c r="BT54" s="232"/>
      <c r="BU54" s="232"/>
      <c r="BV54" s="232"/>
      <c r="BW54" s="232"/>
      <c r="BX54" s="232"/>
      <c r="BY54" s="232"/>
      <c r="BZ54" s="232"/>
      <c r="CA54" s="232"/>
      <c r="CB54" s="232"/>
    </row>
    <row r="55" spans="2:80" x14ac:dyDescent="0.2">
      <c r="B55" s="413" t="s">
        <v>71</v>
      </c>
      <c r="C55" s="230"/>
      <c r="E55" s="231"/>
      <c r="F55" s="231"/>
      <c r="G55" s="231"/>
      <c r="H55" s="231"/>
      <c r="I55" s="231"/>
      <c r="J55" s="231"/>
      <c r="K55" s="232"/>
      <c r="L55" s="232"/>
      <c r="M55" s="232"/>
      <c r="N55" s="232"/>
      <c r="O55" s="232"/>
      <c r="P55" s="232"/>
      <c r="Q55" s="231">
        <v>-10.6027</v>
      </c>
      <c r="R55" s="231">
        <v>-19.753599999999999</v>
      </c>
      <c r="S55" s="231">
        <v>-17.3842</v>
      </c>
      <c r="T55" s="231">
        <v>-22.224399999999999</v>
      </c>
      <c r="U55" s="231">
        <v>-18.450600000000001</v>
      </c>
      <c r="V55" s="231">
        <v>-19.976099999999999</v>
      </c>
      <c r="W55" s="231">
        <v>-21.205100000000002</v>
      </c>
      <c r="X55" s="231">
        <v>-23.323599999999999</v>
      </c>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232"/>
      <c r="AX55" s="232"/>
      <c r="AY55" s="232"/>
      <c r="AZ55" s="232"/>
      <c r="BA55" s="232"/>
      <c r="BB55" s="232"/>
      <c r="BC55" s="232"/>
      <c r="BD55" s="232"/>
      <c r="BE55" s="232"/>
      <c r="BF55" s="232"/>
      <c r="BG55" s="232"/>
      <c r="BH55" s="232"/>
      <c r="BI55" s="232"/>
      <c r="BJ55" s="232"/>
      <c r="BK55" s="232"/>
      <c r="BL55" s="232"/>
      <c r="BM55" s="232"/>
      <c r="BN55" s="232"/>
      <c r="BO55" s="232"/>
      <c r="BP55" s="232"/>
      <c r="BQ55" s="232"/>
      <c r="BR55" s="232"/>
      <c r="BS55" s="232"/>
      <c r="BT55" s="232"/>
      <c r="BU55" s="232"/>
      <c r="BV55" s="232"/>
      <c r="BW55" s="232"/>
      <c r="BX55" s="232"/>
      <c r="BY55" s="232"/>
      <c r="BZ55" s="232"/>
      <c r="CA55" s="232"/>
      <c r="CB55" s="232"/>
    </row>
    <row r="56" spans="2:80" x14ac:dyDescent="0.2">
      <c r="B56" s="413" t="s">
        <v>121</v>
      </c>
      <c r="C56" s="230"/>
      <c r="E56" s="231"/>
      <c r="F56" s="231"/>
      <c r="G56" s="231"/>
      <c r="H56" s="231"/>
      <c r="I56" s="231"/>
      <c r="J56" s="231"/>
      <c r="K56" s="232"/>
      <c r="L56" s="232"/>
      <c r="M56" s="232"/>
      <c r="N56" s="232"/>
      <c r="O56" s="232"/>
      <c r="P56" s="232"/>
      <c r="Q56" s="231">
        <v>-2.8565999999999998</v>
      </c>
      <c r="R56" s="231">
        <v>-7.0286999999999997</v>
      </c>
      <c r="S56" s="231">
        <v>-3.6046999999999998</v>
      </c>
      <c r="T56" s="231">
        <v>-5.5149999999999997</v>
      </c>
      <c r="U56" s="231">
        <v>-11.5128</v>
      </c>
      <c r="V56" s="231">
        <v>-10.2818</v>
      </c>
      <c r="W56" s="231">
        <v>-7.7023000000000001</v>
      </c>
      <c r="X56" s="231">
        <v>-4.0541999999999998</v>
      </c>
      <c r="Y56" s="232"/>
      <c r="Z56" s="232"/>
      <c r="AA56" s="232"/>
      <c r="AB56" s="232"/>
      <c r="AC56" s="232"/>
      <c r="AD56" s="232"/>
      <c r="AE56" s="232"/>
      <c r="AF56" s="232"/>
      <c r="AG56" s="232"/>
      <c r="AH56" s="232"/>
      <c r="AI56" s="232"/>
      <c r="AJ56" s="232"/>
      <c r="AK56" s="232"/>
      <c r="AL56" s="232"/>
      <c r="AM56" s="232"/>
      <c r="AN56" s="232"/>
      <c r="AO56" s="232"/>
      <c r="AP56" s="232"/>
      <c r="AQ56" s="232"/>
      <c r="AR56" s="232"/>
      <c r="AS56" s="232"/>
      <c r="AT56" s="232"/>
      <c r="AU56" s="232"/>
      <c r="AV56" s="232"/>
      <c r="AW56" s="232"/>
      <c r="AX56" s="232"/>
      <c r="AY56" s="232"/>
      <c r="AZ56" s="232"/>
      <c r="BA56" s="232"/>
      <c r="BB56" s="232"/>
      <c r="BC56" s="232"/>
      <c r="BD56" s="232"/>
      <c r="BE56" s="232"/>
      <c r="BF56" s="232"/>
      <c r="BG56" s="232"/>
      <c r="BH56" s="232"/>
      <c r="BI56" s="232"/>
      <c r="BJ56" s="232"/>
      <c r="BK56" s="232"/>
      <c r="BL56" s="232"/>
      <c r="BM56" s="232"/>
      <c r="BN56" s="232"/>
      <c r="BO56" s="232"/>
      <c r="BP56" s="232"/>
      <c r="BQ56" s="232"/>
      <c r="BR56" s="232"/>
      <c r="BS56" s="232"/>
      <c r="BT56" s="232"/>
      <c r="BU56" s="232"/>
      <c r="BV56" s="232"/>
      <c r="BW56" s="232"/>
      <c r="BX56" s="232"/>
      <c r="BY56" s="232"/>
      <c r="BZ56" s="232"/>
      <c r="CA56" s="232"/>
      <c r="CB56" s="232"/>
    </row>
    <row r="57" spans="2:80" x14ac:dyDescent="0.2">
      <c r="B57" s="413" t="s">
        <v>1182</v>
      </c>
      <c r="C57" s="230"/>
      <c r="E57" s="231"/>
      <c r="F57" s="231"/>
      <c r="G57" s="231"/>
      <c r="H57" s="231"/>
      <c r="I57" s="231"/>
      <c r="J57" s="231"/>
      <c r="K57" s="232"/>
      <c r="L57" s="232"/>
      <c r="M57" s="232"/>
      <c r="N57" s="232"/>
      <c r="O57" s="232"/>
      <c r="P57" s="232"/>
      <c r="Q57" s="231">
        <v>-5.3441000000000001</v>
      </c>
      <c r="R57" s="231">
        <v>-5.8688000000000002</v>
      </c>
      <c r="S57" s="231">
        <v>-5.3763999999999994</v>
      </c>
      <c r="T57" s="231">
        <v>-3.9015</v>
      </c>
      <c r="U57" s="231">
        <v>-5.5151000000000003</v>
      </c>
      <c r="V57" s="231">
        <v>-8.6578999999999997</v>
      </c>
      <c r="W57" s="231">
        <v>-6.3164999999999996</v>
      </c>
      <c r="X57" s="231">
        <v>-4.9623999999999997</v>
      </c>
      <c r="Y57" s="232"/>
      <c r="Z57" s="232"/>
      <c r="AA57" s="232"/>
      <c r="AB57" s="232"/>
      <c r="AC57" s="232"/>
      <c r="AD57" s="232"/>
      <c r="AE57" s="232"/>
      <c r="AF57" s="232"/>
      <c r="AG57" s="232"/>
      <c r="AH57" s="232"/>
      <c r="AI57" s="232"/>
      <c r="AJ57" s="232"/>
      <c r="AK57" s="232"/>
      <c r="AL57" s="232"/>
      <c r="AM57" s="232"/>
      <c r="AN57" s="232"/>
      <c r="AO57" s="232"/>
      <c r="AP57" s="232"/>
      <c r="AQ57" s="232"/>
      <c r="AR57" s="232"/>
      <c r="AS57" s="232"/>
      <c r="AT57" s="232"/>
      <c r="AU57" s="232"/>
      <c r="AV57" s="232"/>
      <c r="AW57" s="232"/>
      <c r="AX57" s="232"/>
      <c r="AY57" s="232"/>
      <c r="AZ57" s="232"/>
      <c r="BA57" s="232"/>
      <c r="BB57" s="232"/>
      <c r="BC57" s="232"/>
      <c r="BD57" s="232"/>
      <c r="BE57" s="232"/>
      <c r="BF57" s="232"/>
      <c r="BG57" s="232"/>
      <c r="BH57" s="232"/>
      <c r="BI57" s="232"/>
      <c r="BJ57" s="232"/>
      <c r="BK57" s="232"/>
      <c r="BL57" s="232"/>
      <c r="BM57" s="232"/>
      <c r="BN57" s="232"/>
      <c r="BO57" s="232"/>
      <c r="BP57" s="232"/>
      <c r="BQ57" s="232"/>
      <c r="BR57" s="232"/>
      <c r="BS57" s="232"/>
      <c r="BT57" s="232"/>
      <c r="BU57" s="232"/>
      <c r="BV57" s="232"/>
      <c r="BW57" s="232"/>
      <c r="BX57" s="232"/>
      <c r="BY57" s="232"/>
      <c r="BZ57" s="232"/>
      <c r="CA57" s="232"/>
      <c r="CB57" s="232"/>
    </row>
    <row r="58" spans="2:80" x14ac:dyDescent="0.2">
      <c r="B58" s="413" t="s">
        <v>1183</v>
      </c>
      <c r="C58" s="230"/>
      <c r="E58" s="231"/>
      <c r="F58" s="231"/>
      <c r="G58" s="231"/>
      <c r="H58" s="231"/>
      <c r="I58" s="231"/>
      <c r="J58" s="231"/>
      <c r="K58" s="232"/>
      <c r="L58" s="232"/>
      <c r="M58" s="232"/>
      <c r="N58" s="232"/>
      <c r="O58" s="232"/>
      <c r="P58" s="232"/>
      <c r="Q58" s="231"/>
      <c r="R58" s="231"/>
      <c r="S58" s="231"/>
      <c r="T58" s="231"/>
      <c r="U58" s="231">
        <v>-6.2474999999999996</v>
      </c>
      <c r="V58" s="231">
        <v>-7.8091999999999997</v>
      </c>
      <c r="W58" s="231">
        <v>-6.9810999999999996</v>
      </c>
      <c r="X58" s="231">
        <v>-7.7759</v>
      </c>
      <c r="Y58" s="232"/>
      <c r="Z58" s="232"/>
      <c r="AA58" s="232"/>
      <c r="AB58" s="232"/>
      <c r="AC58" s="232"/>
      <c r="AD58" s="232"/>
      <c r="AE58" s="232"/>
      <c r="AF58" s="232"/>
      <c r="AG58" s="232"/>
      <c r="AH58" s="232"/>
      <c r="AI58" s="232"/>
      <c r="AJ58" s="232"/>
      <c r="AK58" s="232"/>
      <c r="AL58" s="232"/>
      <c r="AM58" s="232"/>
      <c r="AN58" s="232"/>
      <c r="AO58" s="232"/>
      <c r="AP58" s="232"/>
      <c r="AQ58" s="232"/>
      <c r="AR58" s="232"/>
      <c r="AS58" s="232"/>
      <c r="AT58" s="232"/>
      <c r="AU58" s="232"/>
      <c r="AV58" s="232"/>
      <c r="AW58" s="232"/>
      <c r="AX58" s="232"/>
      <c r="AY58" s="232"/>
      <c r="AZ58" s="232"/>
      <c r="BA58" s="232"/>
      <c r="BB58" s="232"/>
      <c r="BC58" s="232"/>
      <c r="BD58" s="232"/>
      <c r="BE58" s="232"/>
      <c r="BF58" s="232"/>
      <c r="BG58" s="232"/>
      <c r="BH58" s="232"/>
      <c r="BI58" s="232"/>
      <c r="BJ58" s="232"/>
      <c r="BK58" s="232"/>
      <c r="BL58" s="232"/>
      <c r="BM58" s="232"/>
      <c r="BN58" s="232"/>
      <c r="BO58" s="232"/>
      <c r="BP58" s="232"/>
      <c r="BQ58" s="232"/>
      <c r="BR58" s="232"/>
      <c r="BS58" s="232"/>
      <c r="BT58" s="232"/>
      <c r="BU58" s="232"/>
      <c r="BV58" s="232"/>
      <c r="BW58" s="232"/>
      <c r="BX58" s="232"/>
      <c r="BY58" s="232"/>
      <c r="BZ58" s="232"/>
      <c r="CA58" s="232"/>
      <c r="CB58" s="232"/>
    </row>
    <row r="59" spans="2:80" x14ac:dyDescent="0.2">
      <c r="B59" s="413" t="s">
        <v>1330</v>
      </c>
      <c r="C59" s="230"/>
      <c r="E59" s="231"/>
      <c r="F59" s="231"/>
      <c r="G59" s="231"/>
      <c r="H59" s="231"/>
      <c r="I59" s="231"/>
      <c r="J59" s="231"/>
      <c r="K59" s="232"/>
      <c r="L59" s="232"/>
      <c r="M59" s="232"/>
      <c r="N59" s="232"/>
      <c r="O59" s="232"/>
      <c r="P59" s="232"/>
      <c r="Q59" s="231"/>
      <c r="R59" s="231"/>
      <c r="S59" s="231"/>
      <c r="T59" s="231"/>
      <c r="U59" s="231">
        <v>-0.4224</v>
      </c>
      <c r="V59" s="231">
        <v>-0.37819999999999998</v>
      </c>
      <c r="W59" s="231">
        <v>-2.8637000000000001</v>
      </c>
      <c r="X59" s="231">
        <v>-0.52370000000000005</v>
      </c>
      <c r="Y59" s="232"/>
      <c r="Z59" s="232"/>
      <c r="AA59" s="232"/>
      <c r="AB59" s="232"/>
      <c r="AC59" s="232"/>
      <c r="AD59" s="232"/>
      <c r="AE59" s="232"/>
      <c r="AF59" s="232"/>
      <c r="AG59" s="232"/>
      <c r="AH59" s="232"/>
      <c r="AI59" s="232"/>
      <c r="AJ59" s="232"/>
      <c r="AK59" s="232"/>
      <c r="AL59" s="232"/>
      <c r="AM59" s="232"/>
      <c r="AN59" s="232"/>
      <c r="AO59" s="232"/>
      <c r="AP59" s="232"/>
      <c r="AQ59" s="232"/>
      <c r="AR59" s="232"/>
      <c r="AS59" s="232"/>
      <c r="AT59" s="232"/>
      <c r="AU59" s="232"/>
      <c r="AV59" s="232"/>
      <c r="AW59" s="232"/>
      <c r="AX59" s="232"/>
      <c r="AY59" s="232"/>
      <c r="AZ59" s="232"/>
      <c r="BA59" s="232"/>
      <c r="BB59" s="232"/>
      <c r="BC59" s="232"/>
      <c r="BD59" s="232"/>
      <c r="BE59" s="232"/>
      <c r="BF59" s="232"/>
      <c r="BG59" s="232"/>
      <c r="BH59" s="232"/>
      <c r="BI59" s="232"/>
      <c r="BJ59" s="232"/>
      <c r="BK59" s="232"/>
      <c r="BL59" s="232"/>
      <c r="BM59" s="232"/>
      <c r="BN59" s="232"/>
      <c r="BO59" s="232"/>
      <c r="BP59" s="232"/>
      <c r="BQ59" s="232"/>
      <c r="BR59" s="232"/>
      <c r="BS59" s="232"/>
      <c r="BT59" s="232"/>
      <c r="BU59" s="232"/>
      <c r="BV59" s="232"/>
      <c r="BW59" s="232"/>
      <c r="BX59" s="232"/>
      <c r="BY59" s="232"/>
      <c r="BZ59" s="232"/>
      <c r="CA59" s="232"/>
      <c r="CB59" s="232"/>
    </row>
    <row r="60" spans="2:80" x14ac:dyDescent="0.2">
      <c r="B60" s="413" t="s">
        <v>1328</v>
      </c>
      <c r="C60" s="230"/>
      <c r="E60" s="231"/>
      <c r="F60" s="231"/>
      <c r="G60" s="231"/>
      <c r="H60" s="231"/>
      <c r="I60" s="231"/>
      <c r="J60" s="231"/>
      <c r="K60" s="232"/>
      <c r="L60" s="232"/>
      <c r="M60" s="232"/>
      <c r="N60" s="232"/>
      <c r="O60" s="232"/>
      <c r="P60" s="232"/>
      <c r="Q60" s="231"/>
      <c r="R60" s="231"/>
      <c r="S60" s="231"/>
      <c r="T60" s="231"/>
      <c r="U60" s="231">
        <v>0.9052</v>
      </c>
      <c r="V60" s="231">
        <v>0.31869999999999998</v>
      </c>
      <c r="W60" s="231">
        <v>2.06E-2</v>
      </c>
      <c r="X60" s="231">
        <v>1.8599999999999998E-2</v>
      </c>
      <c r="Y60" s="232"/>
      <c r="Z60" s="232"/>
      <c r="AA60" s="232"/>
      <c r="AB60" s="232"/>
      <c r="AC60" s="232"/>
      <c r="AD60" s="232"/>
      <c r="AE60" s="232"/>
      <c r="AF60" s="232"/>
      <c r="AG60" s="232"/>
      <c r="AH60" s="232"/>
      <c r="AI60" s="232"/>
      <c r="AJ60" s="232"/>
      <c r="AK60" s="232"/>
      <c r="AL60" s="232"/>
      <c r="AM60" s="232"/>
      <c r="AN60" s="232"/>
      <c r="AO60" s="232"/>
      <c r="AP60" s="232"/>
      <c r="AQ60" s="232"/>
      <c r="AR60" s="232"/>
      <c r="AS60" s="232"/>
      <c r="AT60" s="232"/>
      <c r="AU60" s="232"/>
      <c r="AV60" s="232"/>
      <c r="AW60" s="232"/>
      <c r="AX60" s="232"/>
      <c r="AY60" s="232"/>
      <c r="AZ60" s="232"/>
      <c r="BA60" s="232"/>
      <c r="BB60" s="232"/>
      <c r="BC60" s="232"/>
      <c r="BD60" s="232"/>
      <c r="BE60" s="232"/>
      <c r="BF60" s="232"/>
      <c r="BG60" s="232"/>
      <c r="BH60" s="232"/>
      <c r="BI60" s="232"/>
      <c r="BJ60" s="232"/>
      <c r="BK60" s="232"/>
      <c r="BL60" s="232"/>
      <c r="BM60" s="232"/>
      <c r="BN60" s="232"/>
      <c r="BO60" s="232"/>
      <c r="BP60" s="232"/>
      <c r="BQ60" s="232"/>
      <c r="BR60" s="232"/>
      <c r="BS60" s="232"/>
      <c r="BT60" s="232"/>
      <c r="BU60" s="232"/>
      <c r="BV60" s="232"/>
      <c r="BW60" s="232"/>
      <c r="BX60" s="232"/>
      <c r="BY60" s="232"/>
      <c r="BZ60" s="232"/>
      <c r="CA60" s="232"/>
      <c r="CB60" s="232"/>
    </row>
    <row r="61" spans="2:80" x14ac:dyDescent="0.2">
      <c r="B61" s="413" t="s">
        <v>1329</v>
      </c>
      <c r="C61" s="230"/>
      <c r="E61" s="231"/>
      <c r="F61" s="231"/>
      <c r="G61" s="231"/>
      <c r="H61" s="231"/>
      <c r="I61" s="231"/>
      <c r="J61" s="231"/>
      <c r="K61" s="232"/>
      <c r="L61" s="232"/>
      <c r="M61" s="232"/>
      <c r="N61" s="232"/>
      <c r="O61" s="232"/>
      <c r="P61" s="232"/>
      <c r="Q61" s="231"/>
      <c r="R61" s="231"/>
      <c r="S61" s="231"/>
      <c r="T61" s="231"/>
      <c r="U61" s="231">
        <v>-0.84650000000000003</v>
      </c>
      <c r="V61" s="231">
        <v>-1.0202</v>
      </c>
      <c r="W61" s="231">
        <v>-0.81659999999999999</v>
      </c>
      <c r="X61" s="231">
        <v>-0.84219999999999995</v>
      </c>
      <c r="Y61" s="232"/>
      <c r="Z61" s="232"/>
      <c r="AA61" s="232"/>
      <c r="AB61" s="232"/>
      <c r="AC61" s="232"/>
      <c r="AD61" s="232"/>
      <c r="AE61" s="232"/>
      <c r="AF61" s="232"/>
      <c r="AG61" s="232"/>
      <c r="AH61" s="232"/>
      <c r="AI61" s="232"/>
      <c r="AJ61" s="232"/>
      <c r="AK61" s="232"/>
      <c r="AL61" s="232"/>
      <c r="AM61" s="232"/>
      <c r="AN61" s="232"/>
      <c r="AO61" s="232"/>
      <c r="AP61" s="232"/>
      <c r="AQ61" s="232"/>
      <c r="AR61" s="232"/>
      <c r="AS61" s="232"/>
      <c r="AT61" s="232"/>
      <c r="AU61" s="232"/>
      <c r="AV61" s="232"/>
      <c r="AW61" s="232"/>
      <c r="AX61" s="232"/>
      <c r="AY61" s="232"/>
      <c r="AZ61" s="232"/>
      <c r="BA61" s="232"/>
      <c r="BB61" s="232"/>
      <c r="BC61" s="232"/>
      <c r="BD61" s="232"/>
      <c r="BE61" s="232"/>
      <c r="BF61" s="232"/>
      <c r="BG61" s="232"/>
      <c r="BH61" s="232"/>
      <c r="BI61" s="232"/>
      <c r="BJ61" s="232"/>
      <c r="BK61" s="232"/>
      <c r="BL61" s="232"/>
      <c r="BM61" s="232"/>
      <c r="BN61" s="232"/>
      <c r="BO61" s="232"/>
      <c r="BP61" s="232"/>
      <c r="BQ61" s="232"/>
      <c r="BR61" s="232"/>
      <c r="BS61" s="232"/>
      <c r="BT61" s="232"/>
      <c r="BU61" s="232"/>
      <c r="BV61" s="232"/>
      <c r="BW61" s="232"/>
      <c r="BX61" s="232"/>
      <c r="BY61" s="232"/>
      <c r="BZ61" s="232"/>
      <c r="CA61" s="232"/>
      <c r="CB61" s="232"/>
    </row>
    <row r="62" spans="2:80" s="237" customFormat="1" x14ac:dyDescent="0.2">
      <c r="B62" s="410" t="s">
        <v>1335</v>
      </c>
      <c r="C62" s="468"/>
      <c r="E62" s="257"/>
      <c r="F62" s="257"/>
      <c r="G62" s="257"/>
      <c r="H62" s="257"/>
      <c r="I62" s="257"/>
      <c r="J62" s="257"/>
      <c r="K62" s="229"/>
      <c r="L62" s="229"/>
      <c r="M62" s="229"/>
      <c r="N62" s="229"/>
      <c r="O62" s="229"/>
      <c r="P62" s="229"/>
      <c r="Q62" s="257"/>
      <c r="R62" s="257"/>
      <c r="S62" s="257"/>
      <c r="T62" s="257"/>
      <c r="U62" s="257">
        <v>-5.7343000000000002</v>
      </c>
      <c r="V62" s="257">
        <v>-9.7043999999999997</v>
      </c>
      <c r="W62" s="257">
        <v>-8.8994999999999997</v>
      </c>
      <c r="X62" s="257">
        <v>2.6</v>
      </c>
      <c r="Y62" s="229"/>
      <c r="Z62" s="229"/>
      <c r="AA62" s="229"/>
      <c r="AB62" s="229"/>
      <c r="AC62" s="229"/>
      <c r="AD62" s="229"/>
      <c r="AE62" s="229"/>
      <c r="AF62" s="229"/>
      <c r="AG62" s="229"/>
      <c r="AH62" s="229"/>
      <c r="AI62" s="229"/>
      <c r="AJ62" s="229"/>
      <c r="AK62" s="229"/>
      <c r="AL62" s="229"/>
      <c r="AM62" s="229"/>
      <c r="AN62" s="229"/>
      <c r="AO62" s="229"/>
      <c r="AP62" s="229"/>
      <c r="AQ62" s="229"/>
      <c r="AR62" s="229"/>
      <c r="AS62" s="229"/>
      <c r="AT62" s="229"/>
      <c r="AU62" s="229"/>
      <c r="AV62" s="229"/>
      <c r="AW62" s="229"/>
      <c r="AX62" s="229"/>
      <c r="AY62" s="229"/>
      <c r="AZ62" s="229"/>
      <c r="BA62" s="229"/>
      <c r="BB62" s="229"/>
      <c r="BC62" s="229"/>
      <c r="BD62" s="229"/>
      <c r="BE62" s="229"/>
      <c r="BF62" s="229"/>
      <c r="BG62" s="229"/>
      <c r="BH62" s="229"/>
      <c r="BI62" s="229"/>
      <c r="BJ62" s="229"/>
      <c r="BK62" s="229"/>
      <c r="BL62" s="229"/>
      <c r="BM62" s="229"/>
      <c r="BN62" s="229"/>
      <c r="BO62" s="229"/>
      <c r="BP62" s="229"/>
      <c r="BQ62" s="229"/>
      <c r="BR62" s="229"/>
      <c r="BS62" s="229"/>
      <c r="BT62" s="229"/>
      <c r="BU62" s="229"/>
      <c r="BV62" s="229"/>
      <c r="BW62" s="229"/>
      <c r="BX62" s="229"/>
      <c r="BY62" s="229"/>
      <c r="BZ62" s="229"/>
      <c r="CA62" s="229"/>
      <c r="CB62" s="229"/>
    </row>
    <row r="63" spans="2:80" s="269" customFormat="1" x14ac:dyDescent="0.2">
      <c r="B63" s="597" t="s">
        <v>160</v>
      </c>
      <c r="U63" s="269">
        <f t="shared" ref="U63:W63" si="38">U62-SUM(U53:U61)</f>
        <v>-9.9999999990885158E-5</v>
      </c>
      <c r="V63" s="269">
        <f t="shared" si="38"/>
        <v>0</v>
      </c>
      <c r="W63" s="269">
        <f t="shared" si="38"/>
        <v>0</v>
      </c>
      <c r="X63" s="269">
        <f>X62-SUM(X53:X61)</f>
        <v>-2.0000000000012452E-2</v>
      </c>
    </row>
    <row r="64" spans="2:80" x14ac:dyDescent="0.2">
      <c r="B64" s="226"/>
      <c r="C64" s="230"/>
      <c r="E64" s="231"/>
      <c r="F64" s="231"/>
      <c r="G64" s="231"/>
      <c r="H64" s="231"/>
      <c r="I64" s="231"/>
      <c r="J64" s="231"/>
      <c r="K64" s="232"/>
      <c r="L64" s="232"/>
      <c r="M64" s="232"/>
      <c r="N64" s="232"/>
      <c r="O64" s="232"/>
      <c r="P64" s="232"/>
      <c r="Q64" s="232"/>
      <c r="R64" s="232"/>
      <c r="S64" s="232"/>
      <c r="T64" s="232"/>
      <c r="U64" s="232"/>
      <c r="V64" s="232"/>
      <c r="W64" s="232"/>
      <c r="X64" s="232"/>
      <c r="Y64" s="232"/>
      <c r="Z64" s="232"/>
      <c r="AA64" s="232"/>
      <c r="AB64" s="232"/>
      <c r="AC64" s="232"/>
      <c r="AD64" s="232"/>
      <c r="AE64" s="232"/>
      <c r="AF64" s="232"/>
      <c r="AG64" s="232"/>
      <c r="AH64" s="232"/>
      <c r="AI64" s="232"/>
      <c r="AJ64" s="232"/>
      <c r="AK64" s="232"/>
      <c r="AL64" s="232"/>
      <c r="AM64" s="232"/>
      <c r="AN64" s="232"/>
      <c r="AO64" s="232"/>
      <c r="AP64" s="232"/>
      <c r="AQ64" s="232"/>
      <c r="AR64" s="232"/>
      <c r="AS64" s="232"/>
      <c r="AT64" s="232"/>
      <c r="AU64" s="232"/>
      <c r="AV64" s="232"/>
      <c r="AW64" s="232"/>
      <c r="AX64" s="232"/>
      <c r="AY64" s="232"/>
      <c r="AZ64" s="232"/>
      <c r="BA64" s="232"/>
      <c r="BB64" s="232"/>
      <c r="BC64" s="232"/>
      <c r="BD64" s="232"/>
      <c r="BE64" s="232"/>
      <c r="BF64" s="232"/>
      <c r="BG64" s="232"/>
      <c r="BH64" s="232"/>
      <c r="BI64" s="232"/>
      <c r="BJ64" s="232"/>
      <c r="BK64" s="232"/>
      <c r="BL64" s="232"/>
      <c r="BM64" s="232"/>
      <c r="BN64" s="232"/>
      <c r="BO64" s="232"/>
      <c r="BP64" s="232"/>
      <c r="BQ64" s="232"/>
      <c r="BR64" s="232"/>
      <c r="BS64" s="232"/>
      <c r="BT64" s="232"/>
      <c r="BU64" s="232"/>
      <c r="BV64" s="232"/>
      <c r="BW64" s="232"/>
      <c r="BX64" s="232"/>
      <c r="BY64" s="232"/>
      <c r="BZ64" s="232"/>
      <c r="CA64" s="232"/>
      <c r="CB64" s="232"/>
    </row>
    <row r="65" spans="2:80" x14ac:dyDescent="0.2">
      <c r="B65" s="293" t="s">
        <v>1337</v>
      </c>
      <c r="C65" s="230"/>
      <c r="E65" s="231"/>
      <c r="F65" s="231"/>
      <c r="G65" s="231"/>
      <c r="H65" s="231"/>
      <c r="I65" s="231"/>
      <c r="J65" s="231"/>
      <c r="K65" s="232"/>
      <c r="L65" s="232"/>
      <c r="M65" s="232"/>
      <c r="N65" s="232"/>
      <c r="O65" s="232"/>
      <c r="P65" s="232"/>
      <c r="Q65" s="232"/>
      <c r="R65" s="232"/>
      <c r="S65" s="232"/>
      <c r="T65" s="232"/>
      <c r="U65" s="232"/>
      <c r="V65" s="232"/>
      <c r="W65" s="232"/>
      <c r="X65" s="232"/>
      <c r="Y65" s="232"/>
      <c r="Z65" s="232"/>
      <c r="AA65" s="232"/>
      <c r="AB65" s="232"/>
      <c r="AC65" s="232"/>
      <c r="AD65" s="232"/>
      <c r="AE65" s="232"/>
      <c r="AF65" s="232"/>
      <c r="AG65" s="232"/>
      <c r="AH65" s="232"/>
      <c r="AI65" s="232"/>
      <c r="AJ65" s="232"/>
      <c r="AK65" s="232"/>
      <c r="AL65" s="232"/>
      <c r="AM65" s="232"/>
      <c r="AN65" s="232"/>
      <c r="AO65" s="232"/>
      <c r="AP65" s="232"/>
      <c r="AQ65" s="232"/>
      <c r="AR65" s="232"/>
      <c r="AS65" s="232"/>
      <c r="AT65" s="232"/>
      <c r="AU65" s="232"/>
      <c r="AV65" s="232"/>
      <c r="AW65" s="232"/>
      <c r="AX65" s="232"/>
      <c r="AY65" s="232"/>
      <c r="AZ65" s="232"/>
      <c r="BA65" s="232"/>
      <c r="BB65" s="232"/>
      <c r="BC65" s="232"/>
      <c r="BD65" s="232"/>
      <c r="BE65" s="232"/>
      <c r="BF65" s="232"/>
      <c r="BG65" s="232"/>
      <c r="BH65" s="232"/>
      <c r="BI65" s="232"/>
      <c r="BJ65" s="232"/>
      <c r="BK65" s="232"/>
      <c r="BL65" s="232"/>
      <c r="BM65" s="232"/>
      <c r="BN65" s="232"/>
      <c r="BO65" s="232"/>
      <c r="BP65" s="232"/>
      <c r="BQ65" s="232"/>
      <c r="BR65" s="232"/>
      <c r="BS65" s="232"/>
      <c r="BT65" s="232"/>
      <c r="BU65" s="232"/>
      <c r="BV65" s="232"/>
      <c r="BW65" s="232"/>
      <c r="BX65" s="232"/>
      <c r="BY65" s="232"/>
      <c r="BZ65" s="232"/>
      <c r="CA65" s="232"/>
      <c r="CB65" s="232"/>
    </row>
    <row r="66" spans="2:80" x14ac:dyDescent="0.2">
      <c r="B66" s="226" t="s">
        <v>1332</v>
      </c>
      <c r="C66" s="230"/>
      <c r="E66" s="231"/>
      <c r="F66" s="231"/>
      <c r="G66" s="231"/>
      <c r="H66" s="231"/>
      <c r="I66" s="231"/>
      <c r="J66" s="231"/>
      <c r="K66" s="232"/>
      <c r="L66" s="232"/>
      <c r="M66" s="232"/>
      <c r="N66" s="232"/>
      <c r="O66" s="232"/>
      <c r="P66" s="232"/>
      <c r="Q66" s="232"/>
      <c r="R66" s="232"/>
      <c r="S66" s="232"/>
      <c r="T66" s="232"/>
      <c r="U66" s="232"/>
      <c r="V66" s="232"/>
      <c r="W66" s="232"/>
      <c r="X66" s="232"/>
      <c r="Y66" s="232"/>
      <c r="Z66" s="232"/>
      <c r="AA66" s="232"/>
      <c r="AB66" s="232"/>
      <c r="AC66" s="232"/>
      <c r="AD66" s="232"/>
      <c r="AE66" s="232"/>
      <c r="AF66" s="232"/>
      <c r="AG66" s="232"/>
      <c r="AH66" s="232"/>
      <c r="AI66" s="232"/>
      <c r="AJ66" s="232"/>
      <c r="AK66" s="232"/>
      <c r="AL66" s="232"/>
      <c r="AM66" s="232"/>
      <c r="AN66" s="232"/>
      <c r="AO66" s="232"/>
      <c r="AP66" s="232"/>
      <c r="AQ66" s="232"/>
      <c r="AR66" s="232"/>
      <c r="AS66" s="232"/>
      <c r="AT66" s="232"/>
      <c r="AU66" s="232"/>
      <c r="AV66" s="232"/>
      <c r="AW66" s="232"/>
      <c r="AX66" s="232"/>
      <c r="AY66" s="232"/>
      <c r="AZ66" s="232"/>
      <c r="BA66" s="232"/>
      <c r="BB66" s="232"/>
      <c r="BC66" s="232"/>
      <c r="BD66" s="232"/>
      <c r="BE66" s="232"/>
      <c r="BF66" s="232"/>
      <c r="BG66" s="232"/>
      <c r="BH66" s="232"/>
      <c r="BI66" s="232"/>
      <c r="BJ66" s="232"/>
      <c r="BK66" s="232"/>
      <c r="BL66" s="232"/>
      <c r="BM66" s="232"/>
      <c r="BN66" s="232"/>
      <c r="BO66" s="232"/>
      <c r="BP66" s="232"/>
      <c r="BQ66" s="232"/>
      <c r="BR66" s="232"/>
      <c r="BS66" s="232"/>
      <c r="BT66" s="232"/>
      <c r="BU66" s="232"/>
      <c r="BV66" s="232"/>
      <c r="BW66" s="232"/>
      <c r="BX66" s="232"/>
      <c r="BY66" s="232"/>
      <c r="BZ66" s="232"/>
      <c r="CA66" s="232"/>
      <c r="CB66" s="232"/>
    </row>
    <row r="67" spans="2:80" x14ac:dyDescent="0.2">
      <c r="B67" s="413" t="s">
        <v>1334</v>
      </c>
      <c r="C67" s="230"/>
      <c r="E67" s="231"/>
      <c r="F67" s="231"/>
      <c r="G67" s="231"/>
      <c r="H67" s="231"/>
      <c r="I67" s="231"/>
      <c r="J67" s="231"/>
      <c r="K67" s="232"/>
      <c r="L67" s="232"/>
      <c r="M67" s="232"/>
      <c r="N67" s="232"/>
      <c r="O67" s="232"/>
      <c r="P67" s="232"/>
      <c r="Q67" s="232"/>
      <c r="R67" s="232"/>
      <c r="S67" s="232"/>
      <c r="T67" s="232"/>
      <c r="U67" s="231">
        <v>-2.1974999999999998</v>
      </c>
      <c r="V67" s="231">
        <v>-1.4255</v>
      </c>
      <c r="W67" s="231">
        <v>-1.1733</v>
      </c>
      <c r="X67" s="231">
        <v>-0.84840000000000004</v>
      </c>
      <c r="Y67" s="232"/>
      <c r="Z67" s="232"/>
      <c r="AA67" s="232"/>
      <c r="AB67" s="232"/>
      <c r="AC67" s="232"/>
      <c r="AD67" s="232"/>
      <c r="AE67" s="232"/>
      <c r="AF67" s="232"/>
      <c r="AG67" s="232"/>
      <c r="AH67" s="232"/>
      <c r="AI67" s="232"/>
      <c r="AJ67" s="232"/>
      <c r="AK67" s="232"/>
      <c r="AL67" s="232"/>
      <c r="AM67" s="232"/>
      <c r="AN67" s="232"/>
      <c r="AO67" s="232"/>
      <c r="AP67" s="232"/>
      <c r="AQ67" s="232"/>
      <c r="AR67" s="232"/>
      <c r="AS67" s="232"/>
      <c r="AT67" s="232"/>
      <c r="AU67" s="232"/>
      <c r="AV67" s="232"/>
      <c r="AW67" s="232"/>
      <c r="AX67" s="232"/>
      <c r="AY67" s="232"/>
      <c r="AZ67" s="232"/>
      <c r="BA67" s="232"/>
      <c r="BB67" s="232"/>
      <c r="BC67" s="232"/>
      <c r="BD67" s="232"/>
      <c r="BE67" s="232"/>
      <c r="BF67" s="232"/>
      <c r="BG67" s="232"/>
      <c r="BH67" s="232"/>
      <c r="BI67" s="232"/>
      <c r="BJ67" s="232"/>
      <c r="BK67" s="232"/>
      <c r="BL67" s="232"/>
      <c r="BM67" s="232"/>
      <c r="BN67" s="232"/>
      <c r="BO67" s="232"/>
      <c r="BP67" s="232"/>
      <c r="BQ67" s="232"/>
      <c r="BR67" s="232"/>
      <c r="BS67" s="232"/>
      <c r="BT67" s="232"/>
      <c r="BU67" s="232"/>
      <c r="BV67" s="232"/>
      <c r="BW67" s="232"/>
      <c r="BX67" s="232"/>
      <c r="BY67" s="232"/>
      <c r="BZ67" s="232"/>
      <c r="CA67" s="232"/>
      <c r="CB67" s="232"/>
    </row>
    <row r="68" spans="2:80" x14ac:dyDescent="0.2">
      <c r="B68" s="413" t="s">
        <v>1333</v>
      </c>
      <c r="C68" s="230"/>
      <c r="E68" s="231"/>
      <c r="F68" s="231"/>
      <c r="G68" s="231"/>
      <c r="H68" s="231"/>
      <c r="I68" s="231"/>
      <c r="J68" s="231"/>
      <c r="K68" s="232"/>
      <c r="L68" s="232"/>
      <c r="M68" s="232"/>
      <c r="N68" s="232"/>
      <c r="O68" s="232"/>
      <c r="P68" s="232"/>
      <c r="Q68" s="232"/>
      <c r="R68" s="232"/>
      <c r="S68" s="232"/>
      <c r="T68" s="232"/>
      <c r="U68" s="231">
        <v>-6.6100000000000006E-2</v>
      </c>
      <c r="V68" s="231">
        <v>-0.1512</v>
      </c>
      <c r="W68" s="231">
        <v>-5.0500000000000003E-2</v>
      </c>
      <c r="X68" s="231">
        <v>-2.9499999999999998E-2</v>
      </c>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232"/>
      <c r="AX68" s="232"/>
      <c r="AY68" s="232"/>
      <c r="AZ68" s="232"/>
      <c r="BA68" s="232"/>
      <c r="BB68" s="232"/>
      <c r="BC68" s="232"/>
      <c r="BD68" s="232"/>
      <c r="BE68" s="232"/>
      <c r="BF68" s="232"/>
      <c r="BG68" s="232"/>
      <c r="BH68" s="232"/>
      <c r="BI68" s="232"/>
      <c r="BJ68" s="232"/>
      <c r="BK68" s="232"/>
      <c r="BL68" s="232"/>
      <c r="BM68" s="232"/>
      <c r="BN68" s="232"/>
      <c r="BO68" s="232"/>
      <c r="BP68" s="232"/>
      <c r="BQ68" s="232"/>
      <c r="BR68" s="232"/>
      <c r="BS68" s="232"/>
      <c r="BT68" s="232"/>
      <c r="BU68" s="232"/>
      <c r="BV68" s="232"/>
      <c r="BW68" s="232"/>
      <c r="BX68" s="232"/>
      <c r="BY68" s="232"/>
      <c r="BZ68" s="232"/>
      <c r="CA68" s="232"/>
      <c r="CB68" s="232"/>
    </row>
    <row r="69" spans="2:80" x14ac:dyDescent="0.2">
      <c r="B69" s="413" t="s">
        <v>148</v>
      </c>
      <c r="C69" s="230"/>
      <c r="E69" s="231"/>
      <c r="F69" s="231"/>
      <c r="G69" s="231"/>
      <c r="H69" s="231"/>
      <c r="I69" s="231"/>
      <c r="J69" s="231"/>
      <c r="K69" s="232"/>
      <c r="L69" s="232"/>
      <c r="M69" s="232"/>
      <c r="N69" s="232"/>
      <c r="O69" s="232"/>
      <c r="P69" s="232"/>
      <c r="Q69" s="232"/>
      <c r="R69" s="232"/>
      <c r="S69" s="232"/>
      <c r="T69" s="232"/>
      <c r="U69" s="231">
        <v>0</v>
      </c>
      <c r="V69" s="231">
        <v>-40.649500000000003</v>
      </c>
      <c r="W69" s="231">
        <v>0</v>
      </c>
      <c r="X69" s="231">
        <v>0</v>
      </c>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2"/>
      <c r="AY69" s="232"/>
      <c r="AZ69" s="232"/>
      <c r="BA69" s="232"/>
      <c r="BB69" s="232"/>
      <c r="BC69" s="232"/>
      <c r="BD69" s="232"/>
      <c r="BE69" s="232"/>
      <c r="BF69" s="232"/>
      <c r="BG69" s="232"/>
      <c r="BH69" s="232"/>
      <c r="BI69" s="232"/>
      <c r="BJ69" s="232"/>
      <c r="BK69" s="232"/>
      <c r="BL69" s="232"/>
      <c r="BM69" s="232"/>
      <c r="BN69" s="232"/>
      <c r="BO69" s="232"/>
      <c r="BP69" s="232"/>
      <c r="BQ69" s="232"/>
      <c r="BR69" s="232"/>
      <c r="BS69" s="232"/>
      <c r="BT69" s="232"/>
      <c r="BU69" s="232"/>
      <c r="BV69" s="232"/>
      <c r="BW69" s="232"/>
      <c r="BX69" s="232"/>
      <c r="BY69" s="232"/>
      <c r="BZ69" s="232"/>
      <c r="CA69" s="232"/>
      <c r="CB69" s="232"/>
    </row>
    <row r="70" spans="2:80" x14ac:dyDescent="0.2">
      <c r="B70" s="413" t="s">
        <v>1336</v>
      </c>
      <c r="C70" s="230"/>
      <c r="E70" s="231"/>
      <c r="F70" s="231"/>
      <c r="G70" s="231"/>
      <c r="H70" s="231"/>
      <c r="I70" s="231"/>
      <c r="J70" s="231"/>
      <c r="K70" s="232"/>
      <c r="L70" s="232"/>
      <c r="M70" s="232"/>
      <c r="N70" s="232"/>
      <c r="O70" s="232"/>
      <c r="P70" s="232"/>
      <c r="Q70" s="232"/>
      <c r="R70" s="232"/>
      <c r="S70" s="232"/>
      <c r="T70" s="232"/>
      <c r="U70" s="231">
        <v>-1.869</v>
      </c>
      <c r="V70" s="231">
        <v>-2.2416</v>
      </c>
      <c r="W70" s="231">
        <v>-2.1993999999999998</v>
      </c>
      <c r="X70" s="231">
        <v>-2.3062999999999998</v>
      </c>
      <c r="Y70" s="232"/>
      <c r="Z70" s="232"/>
      <c r="AA70" s="232"/>
      <c r="AB70" s="232"/>
      <c r="AC70" s="232"/>
      <c r="AD70" s="232"/>
      <c r="AE70" s="232"/>
      <c r="AF70" s="232"/>
      <c r="AG70" s="232"/>
      <c r="AH70" s="232"/>
      <c r="AI70" s="232"/>
      <c r="AJ70" s="232"/>
      <c r="AK70" s="232"/>
      <c r="AL70" s="232"/>
      <c r="AM70" s="232"/>
      <c r="AN70" s="232"/>
      <c r="AO70" s="232"/>
      <c r="AP70" s="232"/>
      <c r="AQ70" s="232"/>
      <c r="AR70" s="232"/>
      <c r="AS70" s="232"/>
      <c r="AT70" s="232"/>
      <c r="AU70" s="232"/>
      <c r="AV70" s="232"/>
      <c r="AW70" s="232"/>
      <c r="AX70" s="232"/>
      <c r="AY70" s="232"/>
      <c r="AZ70" s="232"/>
      <c r="BA70" s="232"/>
      <c r="BB70" s="232"/>
      <c r="BC70" s="232"/>
      <c r="BD70" s="232"/>
      <c r="BE70" s="232"/>
      <c r="BF70" s="232"/>
      <c r="BG70" s="232"/>
      <c r="BH70" s="232"/>
      <c r="BI70" s="232"/>
      <c r="BJ70" s="232"/>
      <c r="BK70" s="232"/>
      <c r="BL70" s="232"/>
      <c r="BM70" s="232"/>
      <c r="BN70" s="232"/>
      <c r="BO70" s="232"/>
      <c r="BP70" s="232"/>
      <c r="BQ70" s="232"/>
      <c r="BR70" s="232"/>
      <c r="BS70" s="232"/>
      <c r="BT70" s="232"/>
      <c r="BU70" s="232"/>
      <c r="BV70" s="232"/>
      <c r="BW70" s="232"/>
      <c r="BX70" s="232"/>
      <c r="BY70" s="232"/>
      <c r="BZ70" s="232"/>
      <c r="CA70" s="232"/>
      <c r="CB70" s="232"/>
    </row>
    <row r="71" spans="2:80" s="237" customFormat="1" x14ac:dyDescent="0.2">
      <c r="B71" s="410" t="s">
        <v>1335</v>
      </c>
      <c r="C71" s="468"/>
      <c r="E71" s="257"/>
      <c r="F71" s="257"/>
      <c r="G71" s="257"/>
      <c r="H71" s="257"/>
      <c r="I71" s="257"/>
      <c r="J71" s="257"/>
      <c r="K71" s="229"/>
      <c r="L71" s="229"/>
      <c r="M71" s="229"/>
      <c r="N71" s="229"/>
      <c r="O71" s="229"/>
      <c r="P71" s="229"/>
      <c r="Q71" s="257"/>
      <c r="R71" s="257"/>
      <c r="S71" s="257"/>
      <c r="T71" s="257"/>
      <c r="U71" s="257">
        <v>-4.1326000000000001</v>
      </c>
      <c r="V71" s="257">
        <v>-44.467799999999997</v>
      </c>
      <c r="W71" s="257">
        <v>-3.4232</v>
      </c>
      <c r="X71" s="257">
        <v>-3.1842999999999999</v>
      </c>
      <c r="Y71" s="229"/>
      <c r="Z71" s="229"/>
      <c r="AA71" s="229"/>
      <c r="AB71" s="229"/>
      <c r="AC71" s="229"/>
      <c r="AD71" s="229"/>
      <c r="AE71" s="229"/>
      <c r="AF71" s="229"/>
      <c r="AG71" s="229"/>
      <c r="AH71" s="229"/>
      <c r="AI71" s="229"/>
      <c r="AJ71" s="229"/>
      <c r="AK71" s="229"/>
      <c r="AL71" s="229"/>
      <c r="AM71" s="229"/>
      <c r="AN71" s="229"/>
      <c r="AO71" s="229"/>
      <c r="AP71" s="229"/>
      <c r="AQ71" s="229"/>
      <c r="AR71" s="229"/>
      <c r="AS71" s="229"/>
      <c r="AT71" s="229"/>
      <c r="AU71" s="229"/>
      <c r="AV71" s="229"/>
      <c r="AW71" s="229"/>
      <c r="AX71" s="229"/>
      <c r="AY71" s="229"/>
      <c r="AZ71" s="229"/>
      <c r="BA71" s="229"/>
      <c r="BB71" s="229"/>
      <c r="BC71" s="229"/>
      <c r="BD71" s="229"/>
      <c r="BE71" s="229"/>
      <c r="BF71" s="229"/>
      <c r="BG71" s="229"/>
      <c r="BH71" s="229"/>
      <c r="BI71" s="229"/>
      <c r="BJ71" s="229"/>
      <c r="BK71" s="229"/>
      <c r="BL71" s="229"/>
      <c r="BM71" s="229"/>
      <c r="BN71" s="229"/>
      <c r="BO71" s="229"/>
      <c r="BP71" s="229"/>
      <c r="BQ71" s="229"/>
      <c r="BR71" s="229"/>
      <c r="BS71" s="229"/>
      <c r="BT71" s="229"/>
      <c r="BU71" s="229"/>
      <c r="BV71" s="229"/>
      <c r="BW71" s="229"/>
      <c r="BX71" s="229"/>
      <c r="BY71" s="229"/>
      <c r="BZ71" s="229"/>
      <c r="CA71" s="229"/>
      <c r="CB71" s="229"/>
    </row>
    <row r="72" spans="2:80" s="269" customFormat="1" x14ac:dyDescent="0.2">
      <c r="B72" s="597" t="s">
        <v>160</v>
      </c>
      <c r="U72" s="269">
        <f>U71-SUM(U67:U70)</f>
        <v>0</v>
      </c>
      <c r="V72" s="269">
        <f t="shared" ref="V72:X72" si="39">V71-SUM(V67:V70)</f>
        <v>0</v>
      </c>
      <c r="W72" s="269">
        <f t="shared" si="39"/>
        <v>0</v>
      </c>
      <c r="X72" s="269">
        <f t="shared" si="39"/>
        <v>-1.0000000000021103E-4</v>
      </c>
    </row>
    <row r="73" spans="2:80" x14ac:dyDescent="0.2">
      <c r="B73" s="226"/>
      <c r="C73" s="230"/>
      <c r="E73" s="231"/>
      <c r="F73" s="231"/>
      <c r="G73" s="231"/>
      <c r="H73" s="231"/>
      <c r="I73" s="231"/>
      <c r="J73" s="231"/>
      <c r="K73" s="232"/>
      <c r="L73" s="232"/>
      <c r="M73" s="232"/>
      <c r="N73" s="232"/>
      <c r="O73" s="232"/>
      <c r="P73" s="232"/>
      <c r="Q73" s="232"/>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232"/>
      <c r="AX73" s="232"/>
      <c r="AY73" s="232"/>
      <c r="AZ73" s="232"/>
      <c r="BA73" s="232"/>
      <c r="BB73" s="232"/>
      <c r="BC73" s="232"/>
      <c r="BD73" s="232"/>
      <c r="BE73" s="232"/>
      <c r="BF73" s="232"/>
      <c r="BG73" s="232"/>
      <c r="BH73" s="232"/>
      <c r="BI73" s="232"/>
      <c r="BJ73" s="232"/>
      <c r="BK73" s="232"/>
      <c r="BL73" s="232"/>
      <c r="BM73" s="232"/>
      <c r="BN73" s="232"/>
      <c r="BO73" s="232"/>
      <c r="BP73" s="232"/>
      <c r="BQ73" s="232"/>
      <c r="BR73" s="232"/>
      <c r="BS73" s="232"/>
      <c r="BT73" s="232"/>
      <c r="BU73" s="232"/>
      <c r="BV73" s="232"/>
      <c r="BW73" s="232"/>
      <c r="BX73" s="232"/>
      <c r="BY73" s="232"/>
      <c r="BZ73" s="232"/>
      <c r="CA73" s="232"/>
      <c r="CB73" s="232"/>
    </row>
    <row r="74" spans="2:80" x14ac:dyDescent="0.2">
      <c r="B74" s="413" t="s">
        <v>1338</v>
      </c>
      <c r="C74" s="230"/>
      <c r="E74" s="231"/>
      <c r="F74" s="231"/>
      <c r="G74" s="231"/>
      <c r="H74" s="231"/>
      <c r="I74" s="231"/>
      <c r="J74" s="231"/>
      <c r="K74" s="232"/>
      <c r="L74" s="232"/>
      <c r="M74" s="232"/>
      <c r="N74" s="232"/>
      <c r="O74" s="232"/>
      <c r="P74" s="232"/>
      <c r="Q74" s="231"/>
      <c r="R74" s="231"/>
      <c r="S74" s="231"/>
      <c r="T74" s="231"/>
      <c r="U74" s="232">
        <f>U62</f>
        <v>-5.7343000000000002</v>
      </c>
      <c r="V74" s="232">
        <f t="shared" ref="V74:X74" si="40">V62</f>
        <v>-9.7043999999999997</v>
      </c>
      <c r="W74" s="232">
        <f t="shared" si="40"/>
        <v>-8.8994999999999997</v>
      </c>
      <c r="X74" s="232">
        <f t="shared" si="40"/>
        <v>2.6</v>
      </c>
      <c r="Y74" s="232"/>
      <c r="Z74" s="232"/>
      <c r="AA74" s="232"/>
      <c r="AB74" s="232"/>
      <c r="AC74" s="232"/>
      <c r="AD74" s="232"/>
      <c r="AE74" s="232"/>
      <c r="AF74" s="232"/>
      <c r="AG74" s="232"/>
      <c r="AH74" s="232"/>
      <c r="AI74" s="232"/>
      <c r="AJ74" s="232"/>
      <c r="AK74" s="232"/>
      <c r="AL74" s="232"/>
      <c r="AM74" s="232"/>
      <c r="AN74" s="232"/>
      <c r="AO74" s="232"/>
      <c r="AP74" s="232"/>
      <c r="AQ74" s="232"/>
      <c r="AR74" s="232"/>
      <c r="AS74" s="232"/>
      <c r="AT74" s="232"/>
      <c r="AU74" s="232"/>
      <c r="AV74" s="232"/>
      <c r="AW74" s="232"/>
      <c r="AX74" s="232"/>
      <c r="AY74" s="232"/>
      <c r="AZ74" s="232"/>
      <c r="BA74" s="232"/>
      <c r="BB74" s="232"/>
      <c r="BC74" s="232"/>
      <c r="BD74" s="232"/>
      <c r="BE74" s="232"/>
      <c r="BF74" s="232"/>
      <c r="BG74" s="232"/>
      <c r="BH74" s="232"/>
      <c r="BI74" s="232"/>
      <c r="BJ74" s="232"/>
      <c r="BK74" s="232"/>
      <c r="BL74" s="232"/>
      <c r="BM74" s="232"/>
      <c r="BN74" s="232"/>
      <c r="BO74" s="232"/>
      <c r="BP74" s="232"/>
      <c r="BQ74" s="232"/>
      <c r="BR74" s="232"/>
      <c r="BS74" s="232"/>
      <c r="BT74" s="232"/>
      <c r="BU74" s="232"/>
      <c r="BV74" s="232"/>
      <c r="BW74" s="232"/>
      <c r="BX74" s="232"/>
      <c r="BY74" s="232"/>
      <c r="BZ74" s="232"/>
      <c r="CA74" s="232"/>
      <c r="CB74" s="232"/>
    </row>
    <row r="75" spans="2:80" x14ac:dyDescent="0.2">
      <c r="B75" s="413" t="s">
        <v>1339</v>
      </c>
      <c r="C75" s="230"/>
      <c r="E75" s="231"/>
      <c r="F75" s="231"/>
      <c r="G75" s="231"/>
      <c r="H75" s="231"/>
      <c r="I75" s="231"/>
      <c r="J75" s="231"/>
      <c r="K75" s="232"/>
      <c r="L75" s="232"/>
      <c r="M75" s="232"/>
      <c r="N75" s="232"/>
      <c r="O75" s="232"/>
      <c r="P75" s="232"/>
      <c r="Q75" s="232"/>
      <c r="R75" s="232"/>
      <c r="S75" s="232"/>
      <c r="T75" s="232"/>
      <c r="U75" s="232">
        <f>U71</f>
        <v>-4.1326000000000001</v>
      </c>
      <c r="V75" s="232">
        <f t="shared" ref="V75:X75" si="41">V71</f>
        <v>-44.467799999999997</v>
      </c>
      <c r="W75" s="232">
        <f t="shared" si="41"/>
        <v>-3.4232</v>
      </c>
      <c r="X75" s="232">
        <f t="shared" si="41"/>
        <v>-3.1842999999999999</v>
      </c>
      <c r="Y75" s="232"/>
      <c r="Z75" s="232"/>
      <c r="AA75" s="232"/>
      <c r="AB75" s="232"/>
      <c r="AC75" s="232"/>
      <c r="AD75" s="232"/>
      <c r="AE75" s="232"/>
      <c r="AF75" s="232"/>
      <c r="AG75" s="232"/>
      <c r="AH75" s="232"/>
      <c r="AI75" s="232"/>
      <c r="AJ75" s="232"/>
      <c r="AK75" s="232"/>
      <c r="AL75" s="232"/>
      <c r="AM75" s="232"/>
      <c r="AN75" s="232"/>
      <c r="AO75" s="232"/>
      <c r="AP75" s="232"/>
      <c r="AQ75" s="232"/>
      <c r="AR75" s="232"/>
      <c r="AS75" s="232"/>
      <c r="AT75" s="232"/>
      <c r="AU75" s="232"/>
      <c r="AV75" s="232"/>
      <c r="AW75" s="232"/>
      <c r="AX75" s="232"/>
      <c r="AY75" s="232"/>
      <c r="AZ75" s="232"/>
      <c r="BA75" s="232"/>
      <c r="BB75" s="232"/>
      <c r="BC75" s="232"/>
      <c r="BD75" s="232"/>
      <c r="BE75" s="232"/>
      <c r="BF75" s="232"/>
      <c r="BG75" s="232"/>
      <c r="BH75" s="232"/>
      <c r="BI75" s="232"/>
      <c r="BJ75" s="232"/>
      <c r="BK75" s="232"/>
      <c r="BL75" s="232"/>
      <c r="BM75" s="232"/>
      <c r="BN75" s="232"/>
      <c r="BO75" s="232"/>
      <c r="BP75" s="232"/>
      <c r="BQ75" s="232"/>
      <c r="BR75" s="232"/>
      <c r="BS75" s="232"/>
      <c r="BT75" s="232"/>
      <c r="BU75" s="232"/>
      <c r="BV75" s="232"/>
      <c r="BW75" s="232"/>
      <c r="BX75" s="232"/>
      <c r="BY75" s="232"/>
      <c r="BZ75" s="232"/>
      <c r="CA75" s="232"/>
      <c r="CB75" s="232"/>
    </row>
    <row r="76" spans="2:80" x14ac:dyDescent="0.2">
      <c r="B76" s="413" t="s">
        <v>1340</v>
      </c>
      <c r="U76" s="231">
        <v>0</v>
      </c>
      <c r="V76" s="231">
        <v>0</v>
      </c>
      <c r="W76" s="231">
        <v>0</v>
      </c>
      <c r="X76" s="231">
        <v>-0.38369999999999999</v>
      </c>
    </row>
    <row r="77" spans="2:80" s="237" customFormat="1" x14ac:dyDescent="0.2">
      <c r="B77" s="410" t="s">
        <v>1188</v>
      </c>
      <c r="C77" s="247"/>
      <c r="U77" s="257">
        <v>-9.8668999999999993</v>
      </c>
      <c r="V77" s="257">
        <v>-54.1721</v>
      </c>
      <c r="W77" s="257">
        <v>-12.3226</v>
      </c>
      <c r="X77" s="257">
        <v>-0.94810000000000005</v>
      </c>
    </row>
    <row r="78" spans="2:80" s="269" customFormat="1" x14ac:dyDescent="0.2">
      <c r="B78" s="597" t="s">
        <v>160</v>
      </c>
      <c r="U78" s="269">
        <f t="shared" ref="U78:W78" si="42">U77-SUM(U74:U76)</f>
        <v>0</v>
      </c>
      <c r="V78" s="269">
        <f t="shared" si="42"/>
        <v>9.9999999996214228E-5</v>
      </c>
      <c r="W78" s="269">
        <f t="shared" si="42"/>
        <v>9.9999999999766942E-5</v>
      </c>
      <c r="X78" s="269">
        <f>X77-SUM(X74:X76)</f>
        <v>1.9899999999999696E-2</v>
      </c>
    </row>
    <row r="79" spans="2:80" x14ac:dyDescent="0.2">
      <c r="U79" s="231"/>
      <c r="V79" s="231"/>
      <c r="W79" s="231"/>
      <c r="X79" s="231"/>
    </row>
    <row r="80" spans="2:80" s="237" customFormat="1" x14ac:dyDescent="0.2">
      <c r="B80" s="410" t="s">
        <v>1342</v>
      </c>
      <c r="C80" s="247"/>
      <c r="U80" s="257">
        <v>95.202699999999993</v>
      </c>
      <c r="V80" s="257">
        <v>41.0306</v>
      </c>
      <c r="W80" s="257">
        <v>28.707899999999999</v>
      </c>
      <c r="X80" s="257">
        <v>27.759899999999998</v>
      </c>
    </row>
    <row r="83" spans="2:80" x14ac:dyDescent="0.2">
      <c r="B83" s="239" t="s">
        <v>1341</v>
      </c>
    </row>
    <row r="84" spans="2:80" x14ac:dyDescent="0.2">
      <c r="B84" s="226" t="s">
        <v>1184</v>
      </c>
      <c r="C84" s="230"/>
      <c r="E84" s="231"/>
      <c r="F84" s="231"/>
      <c r="G84" s="231"/>
      <c r="H84" s="231"/>
      <c r="I84" s="231"/>
      <c r="J84" s="231"/>
      <c r="K84" s="232"/>
      <c r="L84" s="232"/>
      <c r="M84" s="232"/>
      <c r="N84" s="232"/>
      <c r="O84" s="232"/>
      <c r="P84" s="232"/>
      <c r="Q84" s="232">
        <f t="shared" ref="Q84:X84" si="43">Q53+Q54</f>
        <v>23.004800000000003</v>
      </c>
      <c r="R84" s="232">
        <f t="shared" si="43"/>
        <v>37.333600000000004</v>
      </c>
      <c r="S84" s="232">
        <f t="shared" si="43"/>
        <v>39.006399999999985</v>
      </c>
      <c r="T84" s="232">
        <f t="shared" si="43"/>
        <v>31.8947</v>
      </c>
      <c r="U84" s="232">
        <f t="shared" si="43"/>
        <v>36.355499999999992</v>
      </c>
      <c r="V84" s="232">
        <f t="shared" si="43"/>
        <v>38.100300000000004</v>
      </c>
      <c r="W84" s="232">
        <f t="shared" si="43"/>
        <v>36.965199999999996</v>
      </c>
      <c r="X84" s="232">
        <f t="shared" si="43"/>
        <v>44.083400000000012</v>
      </c>
      <c r="Y84" s="232"/>
      <c r="Z84" s="232"/>
      <c r="AA84" s="232"/>
      <c r="AB84" s="232"/>
      <c r="AC84" s="232"/>
      <c r="AD84" s="232"/>
      <c r="AE84" s="232"/>
      <c r="AF84" s="232"/>
      <c r="AG84" s="232"/>
      <c r="AH84" s="232"/>
      <c r="AI84" s="232"/>
      <c r="AJ84" s="232"/>
      <c r="AK84" s="232"/>
      <c r="AL84" s="232"/>
      <c r="AM84" s="232"/>
      <c r="AN84" s="232"/>
      <c r="AO84" s="232"/>
      <c r="AP84" s="232"/>
      <c r="AQ84" s="232"/>
      <c r="AR84" s="232"/>
      <c r="AS84" s="232"/>
      <c r="AT84" s="232"/>
      <c r="AU84" s="232"/>
      <c r="AV84" s="232"/>
      <c r="AW84" s="232"/>
      <c r="AX84" s="232"/>
      <c r="AY84" s="232"/>
      <c r="AZ84" s="232"/>
      <c r="BA84" s="232"/>
      <c r="BB84" s="232"/>
      <c r="BC84" s="232"/>
      <c r="BD84" s="232"/>
      <c r="BE84" s="232"/>
      <c r="BF84" s="232"/>
      <c r="BG84" s="232"/>
      <c r="BH84" s="232"/>
      <c r="BI84" s="232"/>
      <c r="BJ84" s="232"/>
      <c r="BK84" s="232"/>
      <c r="BL84" s="232"/>
      <c r="BM84" s="232"/>
      <c r="BN84" s="232"/>
      <c r="BO84" s="232"/>
      <c r="BP84" s="232"/>
      <c r="BQ84" s="232"/>
      <c r="BR84" s="232"/>
      <c r="BS84" s="232"/>
      <c r="BT84" s="232"/>
      <c r="BU84" s="232"/>
      <c r="BV84" s="232"/>
      <c r="BW84" s="232"/>
      <c r="BX84" s="232"/>
      <c r="BY84" s="232"/>
      <c r="BZ84" s="232"/>
      <c r="CA84" s="232"/>
      <c r="CB84" s="232"/>
    </row>
    <row r="85" spans="2:80" x14ac:dyDescent="0.2">
      <c r="B85" s="226" t="s">
        <v>43</v>
      </c>
      <c r="C85" s="230"/>
      <c r="E85" s="231"/>
      <c r="F85" s="231"/>
      <c r="G85" s="231"/>
      <c r="H85" s="231"/>
      <c r="I85" s="231"/>
      <c r="J85" s="231"/>
      <c r="K85" s="232"/>
      <c r="L85" s="232"/>
      <c r="M85" s="232"/>
      <c r="N85" s="232"/>
      <c r="O85" s="232"/>
      <c r="P85" s="232"/>
      <c r="Q85" s="232">
        <f t="shared" ref="Q85:X85" si="44">Q41</f>
        <v>27.9</v>
      </c>
      <c r="R85" s="232">
        <f t="shared" si="44"/>
        <v>39.200000000000003</v>
      </c>
      <c r="S85" s="232">
        <f t="shared" si="44"/>
        <v>37.799999999999997</v>
      </c>
      <c r="T85" s="232">
        <f t="shared" si="44"/>
        <v>40.200000000000003</v>
      </c>
      <c r="U85" s="232">
        <f t="shared" si="44"/>
        <v>38</v>
      </c>
      <c r="V85" s="232">
        <f t="shared" si="44"/>
        <v>37.9</v>
      </c>
      <c r="W85" s="232">
        <f t="shared" si="44"/>
        <v>38.200000000000003</v>
      </c>
      <c r="X85" s="232">
        <f t="shared" si="44"/>
        <v>43.9</v>
      </c>
      <c r="Y85" s="232"/>
      <c r="Z85" s="232"/>
      <c r="AA85" s="232"/>
      <c r="AB85" s="232"/>
      <c r="AC85" s="232"/>
      <c r="AD85" s="232"/>
      <c r="AE85" s="232"/>
      <c r="AF85" s="232"/>
      <c r="AG85" s="232"/>
      <c r="AH85" s="232"/>
      <c r="AI85" s="232"/>
      <c r="AJ85" s="232"/>
      <c r="AK85" s="232"/>
      <c r="AL85" s="232"/>
      <c r="AM85" s="232"/>
      <c r="AN85" s="232"/>
      <c r="AO85" s="232"/>
      <c r="AP85" s="232"/>
      <c r="AQ85" s="232"/>
      <c r="AR85" s="232"/>
      <c r="AS85" s="232"/>
      <c r="AT85" s="232"/>
      <c r="AU85" s="232"/>
      <c r="AV85" s="232"/>
      <c r="AW85" s="232"/>
      <c r="AX85" s="232"/>
      <c r="AY85" s="232"/>
      <c r="AZ85" s="232"/>
      <c r="BA85" s="232"/>
      <c r="BB85" s="232"/>
      <c r="BC85" s="232"/>
      <c r="BD85" s="232"/>
      <c r="BE85" s="232"/>
      <c r="BF85" s="232"/>
      <c r="BG85" s="232"/>
      <c r="BH85" s="232"/>
      <c r="BI85" s="232"/>
      <c r="BJ85" s="232"/>
      <c r="BK85" s="232"/>
      <c r="BL85" s="232"/>
      <c r="BM85" s="232"/>
      <c r="BN85" s="232"/>
      <c r="BO85" s="232"/>
      <c r="BP85" s="232"/>
      <c r="BQ85" s="232"/>
      <c r="BR85" s="232"/>
      <c r="BS85" s="232"/>
      <c r="BT85" s="232"/>
      <c r="BU85" s="232"/>
      <c r="BV85" s="232"/>
      <c r="BW85" s="232"/>
      <c r="BX85" s="232"/>
      <c r="BY85" s="232"/>
      <c r="BZ85" s="232"/>
      <c r="CA85" s="232"/>
      <c r="CB85" s="232"/>
    </row>
    <row r="86" spans="2:80" x14ac:dyDescent="0.2">
      <c r="B86" s="226"/>
      <c r="C86" s="230"/>
      <c r="E86" s="231"/>
      <c r="F86" s="231"/>
      <c r="G86" s="231"/>
      <c r="H86" s="231"/>
      <c r="I86" s="231"/>
      <c r="J86" s="231"/>
      <c r="K86" s="232"/>
      <c r="L86" s="232"/>
      <c r="M86" s="232"/>
      <c r="N86" s="232"/>
      <c r="O86" s="232"/>
      <c r="P86" s="232"/>
      <c r="Q86" s="232"/>
      <c r="R86" s="232"/>
      <c r="S86" s="232"/>
      <c r="T86" s="232"/>
      <c r="U86" s="232"/>
      <c r="V86" s="232"/>
      <c r="W86" s="232"/>
      <c r="X86" s="232"/>
      <c r="Y86" s="232"/>
      <c r="Z86" s="232"/>
      <c r="AA86" s="232"/>
      <c r="AB86" s="232"/>
      <c r="AC86" s="232"/>
      <c r="AD86" s="232"/>
      <c r="AE86" s="232"/>
      <c r="AF86" s="232"/>
      <c r="AG86" s="232"/>
      <c r="AH86" s="232"/>
      <c r="AI86" s="232"/>
      <c r="AJ86" s="232"/>
      <c r="AK86" s="232"/>
      <c r="AL86" s="232"/>
      <c r="AM86" s="232"/>
      <c r="AN86" s="232"/>
      <c r="AO86" s="232"/>
      <c r="AP86" s="232"/>
      <c r="AQ86" s="232"/>
      <c r="AR86" s="232"/>
      <c r="AS86" s="232"/>
      <c r="AT86" s="232"/>
      <c r="AU86" s="232"/>
      <c r="AV86" s="232"/>
      <c r="AW86" s="232"/>
      <c r="AX86" s="232"/>
      <c r="AY86" s="232"/>
      <c r="AZ86" s="232"/>
      <c r="BA86" s="232"/>
      <c r="BB86" s="232"/>
      <c r="BC86" s="232"/>
      <c r="BD86" s="232"/>
      <c r="BE86" s="232"/>
      <c r="BF86" s="232"/>
      <c r="BG86" s="232"/>
      <c r="BH86" s="232"/>
      <c r="BI86" s="232"/>
      <c r="BJ86" s="232"/>
      <c r="BK86" s="232"/>
      <c r="BL86" s="232"/>
      <c r="BM86" s="232"/>
      <c r="BN86" s="232"/>
      <c r="BO86" s="232"/>
      <c r="BP86" s="232"/>
      <c r="BQ86" s="232"/>
      <c r="BR86" s="232"/>
      <c r="BS86" s="232"/>
      <c r="BT86" s="232"/>
      <c r="BU86" s="232"/>
      <c r="BV86" s="232"/>
      <c r="BW86" s="232"/>
      <c r="BX86" s="232"/>
      <c r="BY86" s="232"/>
      <c r="BZ86" s="232"/>
      <c r="CA86" s="232"/>
      <c r="CB86" s="232"/>
    </row>
    <row r="87" spans="2:80" x14ac:dyDescent="0.2">
      <c r="B87" s="226" t="s">
        <v>1185</v>
      </c>
      <c r="C87" s="230"/>
      <c r="E87" s="231"/>
      <c r="F87" s="231"/>
      <c r="G87" s="231"/>
      <c r="H87" s="231"/>
      <c r="I87" s="231"/>
      <c r="J87" s="231"/>
      <c r="K87" s="232"/>
      <c r="L87" s="232"/>
      <c r="M87" s="232"/>
      <c r="N87" s="232"/>
      <c r="O87" s="232"/>
      <c r="P87" s="232"/>
      <c r="Q87" s="232">
        <f t="shared" ref="Q87:X87" si="45">Q84-Q85</f>
        <v>-4.8951999999999956</v>
      </c>
      <c r="R87" s="232">
        <f t="shared" si="45"/>
        <v>-1.8663999999999987</v>
      </c>
      <c r="S87" s="232">
        <f t="shared" si="45"/>
        <v>1.2063999999999879</v>
      </c>
      <c r="T87" s="232">
        <f t="shared" si="45"/>
        <v>-8.3053000000000026</v>
      </c>
      <c r="U87" s="232">
        <f t="shared" si="45"/>
        <v>-1.6445000000000078</v>
      </c>
      <c r="V87" s="232">
        <f t="shared" si="45"/>
        <v>0.2003000000000057</v>
      </c>
      <c r="W87" s="232">
        <f t="shared" si="45"/>
        <v>-1.234800000000007</v>
      </c>
      <c r="X87" s="232">
        <f t="shared" si="45"/>
        <v>0.18340000000001311</v>
      </c>
      <c r="Y87" s="232"/>
      <c r="Z87" s="232"/>
      <c r="AA87" s="232"/>
      <c r="AB87" s="232"/>
      <c r="AC87" s="232"/>
      <c r="AD87" s="232"/>
      <c r="AE87" s="232"/>
      <c r="AF87" s="232"/>
      <c r="AG87" s="232"/>
      <c r="AH87" s="232"/>
      <c r="AI87" s="232"/>
      <c r="AJ87" s="232"/>
      <c r="AK87" s="232"/>
      <c r="AL87" s="232"/>
      <c r="AM87" s="232"/>
      <c r="AN87" s="232"/>
      <c r="AO87" s="232"/>
      <c r="AP87" s="232"/>
      <c r="AQ87" s="232"/>
      <c r="AR87" s="232"/>
      <c r="AS87" s="232"/>
      <c r="AT87" s="232"/>
      <c r="AU87" s="232"/>
      <c r="AV87" s="232"/>
      <c r="AW87" s="232"/>
      <c r="AX87" s="232"/>
      <c r="AY87" s="232"/>
      <c r="AZ87" s="232"/>
      <c r="BA87" s="232"/>
      <c r="BB87" s="232"/>
      <c r="BC87" s="232"/>
      <c r="BD87" s="232"/>
      <c r="BE87" s="232"/>
      <c r="BF87" s="232"/>
      <c r="BG87" s="232"/>
      <c r="BH87" s="232"/>
      <c r="BI87" s="232"/>
      <c r="BJ87" s="232"/>
      <c r="BK87" s="232"/>
      <c r="BL87" s="232"/>
      <c r="BM87" s="232"/>
      <c r="BN87" s="232"/>
      <c r="BO87" s="232"/>
      <c r="BP87" s="232"/>
      <c r="BQ87" s="232"/>
      <c r="BR87" s="232"/>
      <c r="BS87" s="232"/>
      <c r="BT87" s="232"/>
      <c r="BU87" s="232"/>
      <c r="BV87" s="232"/>
      <c r="BW87" s="232"/>
      <c r="BX87" s="232"/>
      <c r="BY87" s="232"/>
      <c r="BZ87" s="232"/>
      <c r="CA87" s="232"/>
      <c r="CB87" s="232"/>
    </row>
    <row r="88" spans="2:80" x14ac:dyDescent="0.2">
      <c r="B88" s="226"/>
      <c r="C88" s="230"/>
      <c r="E88" s="231"/>
      <c r="F88" s="231"/>
      <c r="G88" s="231"/>
      <c r="H88" s="231"/>
      <c r="I88" s="231"/>
      <c r="J88" s="231"/>
      <c r="K88" s="232"/>
      <c r="L88" s="232"/>
      <c r="M88" s="232"/>
      <c r="N88" s="232"/>
      <c r="O88" s="232"/>
      <c r="P88" s="232"/>
      <c r="Q88" s="232"/>
      <c r="R88" s="232"/>
      <c r="S88" s="232"/>
      <c r="T88" s="232"/>
      <c r="U88" s="232"/>
      <c r="V88" s="232"/>
      <c r="W88" s="232"/>
      <c r="X88" s="232"/>
      <c r="Y88" s="232"/>
      <c r="Z88" s="232"/>
      <c r="AA88" s="232"/>
      <c r="AB88" s="232"/>
      <c r="AC88" s="232"/>
      <c r="AD88" s="232"/>
      <c r="AE88" s="232"/>
      <c r="AF88" s="232"/>
      <c r="AG88" s="232"/>
      <c r="AH88" s="232"/>
      <c r="AI88" s="232"/>
      <c r="AJ88" s="232"/>
      <c r="AK88" s="232"/>
      <c r="AL88" s="232"/>
      <c r="AM88" s="232"/>
      <c r="AN88" s="232"/>
      <c r="AO88" s="232"/>
      <c r="AP88" s="232"/>
      <c r="AQ88" s="232"/>
      <c r="AR88" s="232"/>
      <c r="AS88" s="232"/>
      <c r="AT88" s="232"/>
      <c r="AU88" s="232"/>
      <c r="AV88" s="232"/>
      <c r="AW88" s="232"/>
      <c r="AX88" s="232"/>
      <c r="AY88" s="232"/>
      <c r="AZ88" s="232"/>
      <c r="BA88" s="232"/>
      <c r="BB88" s="232"/>
      <c r="BC88" s="232"/>
      <c r="BD88" s="232"/>
      <c r="BE88" s="232"/>
      <c r="BF88" s="232"/>
      <c r="BG88" s="232"/>
      <c r="BH88" s="232"/>
      <c r="BI88" s="232"/>
      <c r="BJ88" s="232"/>
      <c r="BK88" s="232"/>
      <c r="BL88" s="232"/>
      <c r="BM88" s="232"/>
      <c r="BN88" s="232"/>
      <c r="BO88" s="232"/>
      <c r="BP88" s="232"/>
      <c r="BQ88" s="232"/>
      <c r="BR88" s="232"/>
      <c r="BS88" s="232"/>
      <c r="BT88" s="232"/>
      <c r="BU88" s="232"/>
      <c r="BV88" s="232"/>
      <c r="BW88" s="232"/>
      <c r="BX88" s="232"/>
      <c r="BY88" s="232"/>
      <c r="BZ88" s="232"/>
      <c r="CA88" s="232"/>
      <c r="CB88" s="232"/>
    </row>
    <row r="89" spans="2:80" x14ac:dyDescent="0.2">
      <c r="B89" s="226" t="s">
        <v>1186</v>
      </c>
      <c r="C89" s="230"/>
      <c r="E89" s="231"/>
      <c r="F89" s="231"/>
      <c r="G89" s="231"/>
      <c r="H89" s="231"/>
      <c r="I89" s="231"/>
      <c r="J89" s="231"/>
      <c r="K89" s="232"/>
      <c r="L89" s="232"/>
      <c r="M89" s="232"/>
      <c r="N89" s="232"/>
      <c r="O89" s="232"/>
      <c r="P89" s="232"/>
      <c r="Q89" s="231">
        <v>13.1</v>
      </c>
      <c r="R89" s="231">
        <v>12</v>
      </c>
      <c r="S89" s="231">
        <v>12.6</v>
      </c>
      <c r="T89" s="231">
        <v>13.8</v>
      </c>
      <c r="U89" s="231">
        <v>13.7</v>
      </c>
      <c r="V89" s="231">
        <v>13.6</v>
      </c>
      <c r="W89" s="231">
        <v>12.7</v>
      </c>
      <c r="X89" s="231">
        <v>11</v>
      </c>
      <c r="Y89" s="231"/>
      <c r="Z89" s="232"/>
      <c r="AA89" s="232"/>
      <c r="AB89" s="232"/>
      <c r="AC89" s="232"/>
      <c r="AD89" s="232"/>
      <c r="AE89" s="232"/>
      <c r="AF89" s="232"/>
      <c r="AG89" s="232"/>
      <c r="AH89" s="232"/>
      <c r="AI89" s="232"/>
      <c r="AJ89" s="232"/>
      <c r="AK89" s="232"/>
      <c r="AL89" s="232"/>
      <c r="AM89" s="232"/>
      <c r="AN89" s="232"/>
      <c r="AO89" s="232"/>
      <c r="AP89" s="232"/>
      <c r="AQ89" s="232"/>
      <c r="AR89" s="232"/>
      <c r="AS89" s="232"/>
      <c r="AT89" s="232"/>
      <c r="AU89" s="232"/>
      <c r="AV89" s="232"/>
      <c r="AW89" s="232"/>
      <c r="AX89" s="232"/>
      <c r="AY89" s="232"/>
      <c r="AZ89" s="232"/>
      <c r="BA89" s="232"/>
      <c r="BB89" s="232"/>
      <c r="BC89" s="232"/>
      <c r="BD89" s="232"/>
      <c r="BE89" s="232"/>
      <c r="BF89" s="232"/>
      <c r="BG89" s="232"/>
      <c r="BH89" s="232"/>
      <c r="BI89" s="232"/>
      <c r="BJ89" s="232"/>
      <c r="BK89" s="232"/>
      <c r="BL89" s="232"/>
      <c r="BM89" s="232"/>
      <c r="BN89" s="232"/>
      <c r="BO89" s="232"/>
      <c r="BP89" s="232"/>
      <c r="BQ89" s="232"/>
      <c r="BR89" s="232"/>
      <c r="BS89" s="232"/>
      <c r="BT89" s="232"/>
      <c r="BU89" s="232"/>
      <c r="BV89" s="232"/>
      <c r="BW89" s="232"/>
      <c r="BX89" s="232"/>
      <c r="BY89" s="232"/>
      <c r="BZ89" s="232"/>
      <c r="CA89" s="232"/>
      <c r="CB89" s="232"/>
    </row>
    <row r="90" spans="2:80" x14ac:dyDescent="0.2">
      <c r="B90" s="413" t="s">
        <v>1187</v>
      </c>
      <c r="C90" s="230"/>
      <c r="E90" s="231"/>
      <c r="F90" s="231"/>
      <c r="G90" s="231"/>
      <c r="H90" s="231"/>
      <c r="I90" s="231"/>
      <c r="J90" s="231"/>
      <c r="K90" s="232"/>
      <c r="L90" s="232"/>
      <c r="M90" s="232"/>
      <c r="N90" s="232"/>
      <c r="O90" s="232"/>
      <c r="P90" s="232"/>
      <c r="Q90" s="231"/>
      <c r="R90" s="232">
        <f t="shared" ref="R90:X90" si="46">R89-Q89</f>
        <v>-1.0999999999999996</v>
      </c>
      <c r="S90" s="232">
        <f t="shared" si="46"/>
        <v>0.59999999999999964</v>
      </c>
      <c r="T90" s="232">
        <f t="shared" si="46"/>
        <v>1.2000000000000011</v>
      </c>
      <c r="U90" s="232">
        <f t="shared" si="46"/>
        <v>-0.10000000000000142</v>
      </c>
      <c r="V90" s="232">
        <f t="shared" si="46"/>
        <v>-9.9999999999999645E-2</v>
      </c>
      <c r="W90" s="232">
        <f t="shared" si="46"/>
        <v>-0.90000000000000036</v>
      </c>
      <c r="X90" s="232">
        <f t="shared" si="46"/>
        <v>-1.6999999999999993</v>
      </c>
      <c r="Y90" s="232"/>
      <c r="Z90" s="232"/>
      <c r="AA90" s="232"/>
      <c r="AB90" s="232"/>
      <c r="AC90" s="232"/>
      <c r="AD90" s="232"/>
      <c r="AE90" s="232"/>
      <c r="AF90" s="232"/>
      <c r="AG90" s="232"/>
      <c r="AH90" s="232"/>
      <c r="AI90" s="232"/>
      <c r="AJ90" s="232"/>
      <c r="AK90" s="232"/>
      <c r="AL90" s="232"/>
      <c r="AM90" s="232"/>
      <c r="AN90" s="232"/>
      <c r="AO90" s="232"/>
      <c r="AP90" s="232"/>
      <c r="AQ90" s="232"/>
      <c r="AR90" s="232"/>
      <c r="AS90" s="232"/>
      <c r="AT90" s="232"/>
      <c r="AU90" s="232"/>
      <c r="AV90" s="232"/>
      <c r="AW90" s="232"/>
      <c r="AX90" s="232"/>
      <c r="AY90" s="232"/>
      <c r="AZ90" s="232"/>
      <c r="BA90" s="232"/>
      <c r="BB90" s="232"/>
      <c r="BC90" s="232"/>
      <c r="BD90" s="232"/>
      <c r="BE90" s="232"/>
      <c r="BF90" s="232"/>
      <c r="BG90" s="232"/>
      <c r="BH90" s="232"/>
      <c r="BI90" s="232"/>
      <c r="BJ90" s="232"/>
      <c r="BK90" s="232"/>
      <c r="BL90" s="232"/>
      <c r="BM90" s="232"/>
      <c r="BN90" s="232"/>
      <c r="BO90" s="232"/>
      <c r="BP90" s="232"/>
      <c r="BQ90" s="232"/>
      <c r="BR90" s="232"/>
      <c r="BS90" s="232"/>
      <c r="BT90" s="232"/>
      <c r="BU90" s="232"/>
      <c r="BV90" s="232"/>
      <c r="BW90" s="232"/>
      <c r="BX90" s="232"/>
      <c r="BY90" s="232"/>
      <c r="BZ90" s="232"/>
      <c r="CA90" s="232"/>
      <c r="CB90" s="232"/>
    </row>
    <row r="91" spans="2:80" x14ac:dyDescent="0.2">
      <c r="B91" s="226"/>
      <c r="C91" s="230"/>
      <c r="E91" s="231"/>
      <c r="F91" s="231"/>
      <c r="G91" s="231"/>
      <c r="H91" s="231"/>
      <c r="I91" s="231"/>
      <c r="J91" s="231"/>
      <c r="K91" s="232"/>
      <c r="L91" s="232"/>
      <c r="M91" s="232"/>
      <c r="N91" s="232"/>
      <c r="O91" s="232"/>
      <c r="P91" s="232"/>
      <c r="Q91" s="231"/>
      <c r="R91" s="231"/>
      <c r="S91" s="231"/>
      <c r="T91" s="231"/>
      <c r="U91" s="231"/>
      <c r="V91" s="231"/>
      <c r="W91" s="232"/>
      <c r="X91" s="232"/>
      <c r="Y91" s="232"/>
      <c r="Z91" s="232"/>
      <c r="AA91" s="232"/>
      <c r="AB91" s="232"/>
      <c r="AC91" s="232"/>
      <c r="AD91" s="232"/>
      <c r="AE91" s="232"/>
      <c r="AF91" s="232"/>
      <c r="AG91" s="232"/>
      <c r="AH91" s="232"/>
      <c r="AI91" s="232"/>
      <c r="AJ91" s="232"/>
      <c r="AK91" s="232"/>
      <c r="AL91" s="232"/>
      <c r="AM91" s="232"/>
      <c r="AN91" s="232"/>
      <c r="AO91" s="232"/>
      <c r="AP91" s="232"/>
      <c r="AQ91" s="232"/>
      <c r="AR91" s="232"/>
      <c r="AS91" s="232"/>
      <c r="AT91" s="232"/>
      <c r="AU91" s="232"/>
      <c r="AV91" s="232"/>
      <c r="AW91" s="232"/>
      <c r="AX91" s="232"/>
      <c r="AY91" s="232"/>
      <c r="AZ91" s="232"/>
      <c r="BA91" s="232"/>
      <c r="BB91" s="232"/>
      <c r="BC91" s="232"/>
      <c r="BD91" s="232"/>
      <c r="BE91" s="232"/>
      <c r="BF91" s="232"/>
      <c r="BG91" s="232"/>
      <c r="BH91" s="232"/>
      <c r="BI91" s="232"/>
      <c r="BJ91" s="232"/>
      <c r="BK91" s="232"/>
      <c r="BL91" s="232"/>
      <c r="BM91" s="232"/>
      <c r="BN91" s="232"/>
      <c r="BO91" s="232"/>
      <c r="BP91" s="232"/>
      <c r="BQ91" s="232"/>
      <c r="BR91" s="232"/>
      <c r="BS91" s="232"/>
      <c r="BT91" s="232"/>
      <c r="BU91" s="232"/>
      <c r="BV91" s="232"/>
      <c r="BW91" s="232"/>
      <c r="BX91" s="232"/>
      <c r="BY91" s="232"/>
      <c r="BZ91" s="232"/>
      <c r="CA91" s="232"/>
      <c r="CB91" s="232"/>
    </row>
    <row r="92" spans="2:80" s="237" customFormat="1" x14ac:dyDescent="0.2">
      <c r="B92" s="410" t="s">
        <v>1189</v>
      </c>
      <c r="C92" s="247"/>
      <c r="U92" s="248">
        <f>U80-U89</f>
        <v>81.50269999999999</v>
      </c>
      <c r="V92" s="248">
        <f>V80-V89</f>
        <v>27.430599999999998</v>
      </c>
      <c r="W92" s="248">
        <f>W80-W89</f>
        <v>16.007899999999999</v>
      </c>
      <c r="X92" s="248">
        <f>X80-X89</f>
        <v>16.759899999999998</v>
      </c>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pageSetUpPr autoPageBreaks="0"/>
  </sheetPr>
  <dimension ref="A1:DH633"/>
  <sheetViews>
    <sheetView showGridLines="0" zoomScale="115" zoomScaleNormal="115" workbookViewId="0">
      <pane xSplit="4" ySplit="8" topLeftCell="E99" activePane="bottomRight" state="frozen"/>
      <selection activeCell="H167" sqref="H167"/>
      <selection pane="topRight" activeCell="H167" sqref="H167"/>
      <selection pane="bottomLeft" activeCell="H167" sqref="H167"/>
      <selection pane="bottomRight" activeCell="K7" sqref="K7"/>
    </sheetView>
  </sheetViews>
  <sheetFormatPr defaultColWidth="0" defaultRowHeight="11.25" outlineLevelRow="1" x14ac:dyDescent="0.2"/>
  <cols>
    <col min="1" max="1" width="9.5703125" style="218" customWidth="1"/>
    <col min="2" max="2" width="33.7109375" style="218" customWidth="1"/>
    <col min="3" max="3" width="8.7109375" style="205" bestFit="1" customWidth="1"/>
    <col min="4" max="4" width="9" style="218" bestFit="1" customWidth="1"/>
    <col min="5" max="38" width="8.7109375" style="218" customWidth="1"/>
    <col min="39" max="40" width="8.7109375" style="218" hidden="1" customWidth="1"/>
    <col min="41" max="112" width="0" style="218" hidden="1" customWidth="1"/>
    <col min="113" max="113" width="8.7109375" style="218" hidden="1" customWidth="1"/>
    <col min="114" max="16384" width="8.7109375" style="218" hidden="1"/>
  </cols>
  <sheetData>
    <row r="1" spans="1:38" x14ac:dyDescent="0.2">
      <c r="K1" s="265">
        <f>K255</f>
        <v>4.341082865321086</v>
      </c>
      <c r="L1" s="265">
        <f>L255</f>
        <v>7.4191625805502435</v>
      </c>
    </row>
    <row r="3" spans="1:38" x14ac:dyDescent="0.2">
      <c r="B3" s="211" t="s">
        <v>0</v>
      </c>
      <c r="I3" s="205" t="s">
        <v>1</v>
      </c>
      <c r="J3" s="220" t="s">
        <v>2</v>
      </c>
      <c r="K3" s="205" t="s">
        <v>3</v>
      </c>
      <c r="L3" s="220" t="s">
        <v>4</v>
      </c>
    </row>
    <row r="4" spans="1:38" x14ac:dyDescent="0.2">
      <c r="B4" s="211" t="s">
        <v>5</v>
      </c>
      <c r="I4" s="205"/>
      <c r="J4" s="313">
        <f>J119</f>
        <v>6.1</v>
      </c>
      <c r="K4" s="205"/>
      <c r="L4" s="313">
        <f>K119+L119</f>
        <v>16.471692986595372</v>
      </c>
      <c r="N4" s="313">
        <f>M119+N119</f>
        <v>21.580367708525142</v>
      </c>
      <c r="P4" s="313">
        <f>O119+P119</f>
        <v>25.531053994271389</v>
      </c>
      <c r="R4" s="313">
        <f>Q119+R119</f>
        <v>28.423655630834983</v>
      </c>
    </row>
    <row r="6" spans="1:38" s="196" customFormat="1" x14ac:dyDescent="0.2">
      <c r="B6" s="196" t="s">
        <v>6</v>
      </c>
      <c r="C6" s="197">
        <f>SUM(E6:AL6)</f>
        <v>0</v>
      </c>
      <c r="E6" s="197">
        <f t="shared" ref="E6:AL6" si="0">E334</f>
        <v>0</v>
      </c>
      <c r="F6" s="197">
        <f t="shared" si="0"/>
        <v>0</v>
      </c>
      <c r="G6" s="197">
        <f t="shared" si="0"/>
        <v>0</v>
      </c>
      <c r="H6" s="197">
        <f t="shared" si="0"/>
        <v>0</v>
      </c>
      <c r="I6" s="197">
        <f t="shared" si="0"/>
        <v>0</v>
      </c>
      <c r="J6" s="197">
        <f t="shared" si="0"/>
        <v>0</v>
      </c>
      <c r="K6" s="197">
        <f t="shared" si="0"/>
        <v>0</v>
      </c>
      <c r="L6" s="197">
        <f t="shared" si="0"/>
        <v>0</v>
      </c>
      <c r="M6" s="197">
        <f t="shared" si="0"/>
        <v>0</v>
      </c>
      <c r="N6" s="197">
        <f t="shared" si="0"/>
        <v>0</v>
      </c>
      <c r="O6" s="197">
        <f t="shared" si="0"/>
        <v>0</v>
      </c>
      <c r="P6" s="197">
        <f t="shared" si="0"/>
        <v>0</v>
      </c>
      <c r="Q6" s="197">
        <f t="shared" si="0"/>
        <v>0</v>
      </c>
      <c r="R6" s="197">
        <f t="shared" si="0"/>
        <v>0</v>
      </c>
      <c r="S6" s="197">
        <f t="shared" si="0"/>
        <v>0</v>
      </c>
      <c r="T6" s="197">
        <f t="shared" si="0"/>
        <v>0</v>
      </c>
      <c r="U6" s="197">
        <f t="shared" si="0"/>
        <v>0</v>
      </c>
      <c r="V6" s="197">
        <f t="shared" si="0"/>
        <v>0</v>
      </c>
      <c r="W6" s="197">
        <f t="shared" si="0"/>
        <v>0</v>
      </c>
      <c r="X6" s="197">
        <f t="shared" si="0"/>
        <v>0</v>
      </c>
      <c r="Y6" s="197">
        <f t="shared" si="0"/>
        <v>0</v>
      </c>
      <c r="Z6" s="197">
        <f t="shared" si="0"/>
        <v>0</v>
      </c>
      <c r="AA6" s="197">
        <f t="shared" si="0"/>
        <v>0</v>
      </c>
      <c r="AB6" s="197">
        <f t="shared" si="0"/>
        <v>0</v>
      </c>
      <c r="AC6" s="197">
        <f t="shared" si="0"/>
        <v>0</v>
      </c>
      <c r="AD6" s="197">
        <f t="shared" si="0"/>
        <v>0</v>
      </c>
      <c r="AE6" s="197">
        <f t="shared" si="0"/>
        <v>0</v>
      </c>
      <c r="AF6" s="197">
        <f t="shared" si="0"/>
        <v>0</v>
      </c>
      <c r="AG6" s="197">
        <f t="shared" si="0"/>
        <v>0</v>
      </c>
      <c r="AH6" s="197">
        <f t="shared" si="0"/>
        <v>0</v>
      </c>
      <c r="AI6" s="197">
        <f t="shared" si="0"/>
        <v>0</v>
      </c>
      <c r="AJ6" s="197">
        <f t="shared" si="0"/>
        <v>0</v>
      </c>
      <c r="AK6" s="197">
        <f t="shared" si="0"/>
        <v>0</v>
      </c>
      <c r="AL6" s="197">
        <f t="shared" si="0"/>
        <v>0</v>
      </c>
    </row>
    <row r="7" spans="1:38" s="204" customFormat="1" x14ac:dyDescent="0.2">
      <c r="A7" s="198" t="s">
        <v>7</v>
      </c>
      <c r="B7" s="199" t="s">
        <v>8</v>
      </c>
      <c r="C7" s="200">
        <f ca="1">$D$607</f>
        <v>0.27</v>
      </c>
      <c r="D7" s="201" t="s">
        <v>9</v>
      </c>
      <c r="E7" s="202" t="str">
        <f t="shared" ref="E7:AL7" si="1">E13&amp;E16</f>
        <v>1H24A</v>
      </c>
      <c r="F7" s="203" t="str">
        <f t="shared" si="1"/>
        <v>2H24A</v>
      </c>
      <c r="G7" s="202" t="str">
        <f t="shared" si="1"/>
        <v>1H25A</v>
      </c>
      <c r="H7" s="203" t="str">
        <f t="shared" si="1"/>
        <v>2H25A</v>
      </c>
      <c r="I7" s="202" t="str">
        <f t="shared" si="1"/>
        <v>1H26A</v>
      </c>
      <c r="J7" s="203" t="str">
        <f t="shared" si="1"/>
        <v>2H26A</v>
      </c>
      <c r="K7" s="553" t="str">
        <f t="shared" si="1"/>
        <v>1H27E</v>
      </c>
      <c r="L7" s="552" t="str">
        <f t="shared" si="1"/>
        <v>2H27E</v>
      </c>
      <c r="M7" s="553" t="str">
        <f t="shared" si="1"/>
        <v>1H28E</v>
      </c>
      <c r="N7" s="552" t="str">
        <f t="shared" si="1"/>
        <v>2H28E</v>
      </c>
      <c r="O7" s="553" t="str">
        <f t="shared" si="1"/>
        <v>1H29E</v>
      </c>
      <c r="P7" s="552" t="str">
        <f t="shared" si="1"/>
        <v>2H29E</v>
      </c>
      <c r="Q7" s="553" t="str">
        <f t="shared" si="1"/>
        <v>1H30E</v>
      </c>
      <c r="R7" s="552" t="str">
        <f t="shared" si="1"/>
        <v>2H30E</v>
      </c>
      <c r="S7" s="553" t="str">
        <f t="shared" si="1"/>
        <v>1H31E</v>
      </c>
      <c r="T7" s="552" t="str">
        <f t="shared" si="1"/>
        <v>2H31E</v>
      </c>
      <c r="U7" s="553" t="str">
        <f t="shared" si="1"/>
        <v>1H32E</v>
      </c>
      <c r="V7" s="552" t="str">
        <f t="shared" si="1"/>
        <v>2H32E</v>
      </c>
      <c r="W7" s="553" t="str">
        <f t="shared" si="1"/>
        <v>1H33E</v>
      </c>
      <c r="X7" s="552" t="str">
        <f t="shared" si="1"/>
        <v>2H33E</v>
      </c>
      <c r="Y7" s="553" t="str">
        <f t="shared" si="1"/>
        <v>1H34E</v>
      </c>
      <c r="Z7" s="552" t="str">
        <f t="shared" si="1"/>
        <v>2H34E</v>
      </c>
      <c r="AA7" s="553" t="str">
        <f t="shared" si="1"/>
        <v>1H35E</v>
      </c>
      <c r="AB7" s="552" t="str">
        <f t="shared" si="1"/>
        <v>2H35E</v>
      </c>
      <c r="AC7" s="553" t="str">
        <f t="shared" si="1"/>
        <v>1H36E</v>
      </c>
      <c r="AD7" s="552" t="str">
        <f t="shared" si="1"/>
        <v>2H36E</v>
      </c>
      <c r="AE7" s="553" t="str">
        <f t="shared" si="1"/>
        <v>1H37E</v>
      </c>
      <c r="AF7" s="552" t="str">
        <f t="shared" si="1"/>
        <v>2H37E</v>
      </c>
      <c r="AG7" s="553" t="str">
        <f t="shared" si="1"/>
        <v>1H38E</v>
      </c>
      <c r="AH7" s="552" t="str">
        <f t="shared" si="1"/>
        <v>2H38E</v>
      </c>
      <c r="AI7" s="553" t="str">
        <f t="shared" si="1"/>
        <v>1H39E</v>
      </c>
      <c r="AJ7" s="552" t="str">
        <f t="shared" si="1"/>
        <v>2H39E</v>
      </c>
      <c r="AK7" s="553" t="str">
        <f t="shared" si="1"/>
        <v>1H40E</v>
      </c>
      <c r="AL7" s="552" t="str">
        <f t="shared" si="1"/>
        <v>2H40E</v>
      </c>
    </row>
    <row r="8" spans="1:38" s="205" customFormat="1" x14ac:dyDescent="0.2">
      <c r="B8" s="206" t="s">
        <v>10</v>
      </c>
      <c r="C8" s="207"/>
      <c r="D8" s="208"/>
      <c r="E8" s="551">
        <v>45291</v>
      </c>
      <c r="F8" s="210">
        <f t="shared" ref="F8:AL8" si="2">EOMONTH(E8,6)</f>
        <v>45473</v>
      </c>
      <c r="G8" s="209">
        <f t="shared" si="2"/>
        <v>45657</v>
      </c>
      <c r="H8" s="210">
        <f t="shared" si="2"/>
        <v>45838</v>
      </c>
      <c r="I8" s="209">
        <f t="shared" si="2"/>
        <v>46022</v>
      </c>
      <c r="J8" s="210">
        <f t="shared" si="2"/>
        <v>46203</v>
      </c>
      <c r="K8" s="209">
        <f t="shared" si="2"/>
        <v>46387</v>
      </c>
      <c r="L8" s="210">
        <f t="shared" si="2"/>
        <v>46568</v>
      </c>
      <c r="M8" s="209">
        <f t="shared" si="2"/>
        <v>46752</v>
      </c>
      <c r="N8" s="210">
        <f t="shared" si="2"/>
        <v>46934</v>
      </c>
      <c r="O8" s="209">
        <f t="shared" si="2"/>
        <v>47118</v>
      </c>
      <c r="P8" s="210">
        <f t="shared" si="2"/>
        <v>47299</v>
      </c>
      <c r="Q8" s="209">
        <f t="shared" si="2"/>
        <v>47483</v>
      </c>
      <c r="R8" s="210">
        <f t="shared" si="2"/>
        <v>47664</v>
      </c>
      <c r="S8" s="209">
        <f t="shared" si="2"/>
        <v>47848</v>
      </c>
      <c r="T8" s="210">
        <f t="shared" si="2"/>
        <v>48029</v>
      </c>
      <c r="U8" s="209">
        <f t="shared" si="2"/>
        <v>48213</v>
      </c>
      <c r="V8" s="210">
        <f t="shared" si="2"/>
        <v>48395</v>
      </c>
      <c r="W8" s="209">
        <f t="shared" si="2"/>
        <v>48579</v>
      </c>
      <c r="X8" s="210">
        <f t="shared" si="2"/>
        <v>48760</v>
      </c>
      <c r="Y8" s="209">
        <f t="shared" si="2"/>
        <v>48944</v>
      </c>
      <c r="Z8" s="210">
        <f t="shared" si="2"/>
        <v>49125</v>
      </c>
      <c r="AA8" s="209">
        <f t="shared" si="2"/>
        <v>49309</v>
      </c>
      <c r="AB8" s="210">
        <f t="shared" si="2"/>
        <v>49490</v>
      </c>
      <c r="AC8" s="209">
        <f t="shared" si="2"/>
        <v>49674</v>
      </c>
      <c r="AD8" s="210">
        <f t="shared" si="2"/>
        <v>49856</v>
      </c>
      <c r="AE8" s="209">
        <f t="shared" si="2"/>
        <v>50040</v>
      </c>
      <c r="AF8" s="210">
        <f t="shared" si="2"/>
        <v>50221</v>
      </c>
      <c r="AG8" s="209">
        <f t="shared" si="2"/>
        <v>50405</v>
      </c>
      <c r="AH8" s="210">
        <f t="shared" si="2"/>
        <v>50586</v>
      </c>
      <c r="AI8" s="209">
        <f t="shared" si="2"/>
        <v>50770</v>
      </c>
      <c r="AJ8" s="210">
        <f t="shared" si="2"/>
        <v>50951</v>
      </c>
      <c r="AK8" s="209">
        <f t="shared" si="2"/>
        <v>51135</v>
      </c>
      <c r="AL8" s="210">
        <f t="shared" si="2"/>
        <v>51317</v>
      </c>
    </row>
    <row r="9" spans="1:38" outlineLevel="1" x14ac:dyDescent="0.2"/>
    <row r="10" spans="1:38" outlineLevel="1" x14ac:dyDescent="0.2">
      <c r="B10" s="211" t="s">
        <v>11</v>
      </c>
      <c r="E10" s="214" t="str">
        <f t="array" ref="E10">_xlfn.IFS(AND(MONTH(E$8)&gt;=1,MONTH(E$8)&lt;=3),"3Q",AND(MONTH(E$8)&gt;=4,MONTH(E$8)&lt;=6),"4Q",AND(MONTH(E$8)&gt;=7,MONTH(E$8)&lt;=9),"1Q",AND(MONTH(E$8)&gt;=10,MONTH(E$8)&lt;=12),"2Q")</f>
        <v>2Q</v>
      </c>
      <c r="F10" s="214" t="str">
        <f t="array" ref="F10">_xlfn.IFS(AND(MONTH(F$8)&gt;=1,MONTH(F$8)&lt;=3),"3Q",AND(MONTH(F$8)&gt;=4,MONTH(F$8)&lt;=6),"4Q",AND(MONTH(F$8)&gt;=7,MONTH(F$8)&lt;=9),"1Q",AND(MONTH(F$8)&gt;=10,MONTH(F$8)&lt;=12),"2Q")</f>
        <v>4Q</v>
      </c>
      <c r="G10" s="214" t="str">
        <f t="array" ref="G10">_xlfn.IFS(AND(MONTH(G$8)&gt;=1,MONTH(G$8)&lt;=3),"3Q",AND(MONTH(G$8)&gt;=4,MONTH(G$8)&lt;=6),"4Q",AND(MONTH(G$8)&gt;=7,MONTH(G$8)&lt;=9),"1Q",AND(MONTH(G$8)&gt;=10,MONTH(G$8)&lt;=12),"2Q")</f>
        <v>2Q</v>
      </c>
      <c r="H10" s="214" t="str">
        <f t="array" ref="H10">_xlfn.IFS(AND(MONTH(H$8)&gt;=1,MONTH(H$8)&lt;=3),"3Q",AND(MONTH(H$8)&gt;=4,MONTH(H$8)&lt;=6),"4Q",AND(MONTH(H$8)&gt;=7,MONTH(H$8)&lt;=9),"1Q",AND(MONTH(H$8)&gt;=10,MONTH(H$8)&lt;=12),"2Q")</f>
        <v>4Q</v>
      </c>
      <c r="I10" s="214" t="str">
        <f t="array" ref="I10">_xlfn.IFS(AND(MONTH(I$8)&gt;=1,MONTH(I$8)&lt;=3),"3Q",AND(MONTH(I$8)&gt;=4,MONTH(I$8)&lt;=6),"4Q",AND(MONTH(I$8)&gt;=7,MONTH(I$8)&lt;=9),"1Q",AND(MONTH(I$8)&gt;=10,MONTH(I$8)&lt;=12),"2Q")</f>
        <v>2Q</v>
      </c>
      <c r="J10" s="214" t="str">
        <f t="array" ref="J10">_xlfn.IFS(AND(MONTH(J$8)&gt;=1,MONTH(J$8)&lt;=3),"3Q",AND(MONTH(J$8)&gt;=4,MONTH(J$8)&lt;=6),"4Q",AND(MONTH(J$8)&gt;=7,MONTH(J$8)&lt;=9),"1Q",AND(MONTH(J$8)&gt;=10,MONTH(J$8)&lt;=12),"2Q")</f>
        <v>4Q</v>
      </c>
      <c r="K10" s="214" t="str">
        <f t="array" ref="K10">_xlfn.IFS(AND(MONTH(K$8)&gt;=1,MONTH(K$8)&lt;=3),"3Q",AND(MONTH(K$8)&gt;=4,MONTH(K$8)&lt;=6),"4Q",AND(MONTH(K$8)&gt;=7,MONTH(K$8)&lt;=9),"1Q",AND(MONTH(K$8)&gt;=10,MONTH(K$8)&lt;=12),"2Q")</f>
        <v>2Q</v>
      </c>
      <c r="L10" s="214" t="str">
        <f t="array" ref="L10">_xlfn.IFS(AND(MONTH(L$8)&gt;=1,MONTH(L$8)&lt;=3),"3Q",AND(MONTH(L$8)&gt;=4,MONTH(L$8)&lt;=6),"4Q",AND(MONTH(L$8)&gt;=7,MONTH(L$8)&lt;=9),"1Q",AND(MONTH(L$8)&gt;=10,MONTH(L$8)&lt;=12),"2Q")</f>
        <v>4Q</v>
      </c>
      <c r="M10" s="214" t="str">
        <f t="array" ref="M10">_xlfn.IFS(AND(MONTH(M$8)&gt;=1,MONTH(M$8)&lt;=3),"3Q",AND(MONTH(M$8)&gt;=4,MONTH(M$8)&lt;=6),"4Q",AND(MONTH(M$8)&gt;=7,MONTH(M$8)&lt;=9),"1Q",AND(MONTH(M$8)&gt;=10,MONTH(M$8)&lt;=12),"2Q")</f>
        <v>2Q</v>
      </c>
      <c r="N10" s="214" t="str">
        <f t="array" ref="N10">_xlfn.IFS(AND(MONTH(N$8)&gt;=1,MONTH(N$8)&lt;=3),"3Q",AND(MONTH(N$8)&gt;=4,MONTH(N$8)&lt;=6),"4Q",AND(MONTH(N$8)&gt;=7,MONTH(N$8)&lt;=9),"1Q",AND(MONTH(N$8)&gt;=10,MONTH(N$8)&lt;=12),"2Q")</f>
        <v>4Q</v>
      </c>
      <c r="O10" s="214" t="str">
        <f t="array" ref="O10">_xlfn.IFS(AND(MONTH(O$8)&gt;=1,MONTH(O$8)&lt;=3),"3Q",AND(MONTH(O$8)&gt;=4,MONTH(O$8)&lt;=6),"4Q",AND(MONTH(O$8)&gt;=7,MONTH(O$8)&lt;=9),"1Q",AND(MONTH(O$8)&gt;=10,MONTH(O$8)&lt;=12),"2Q")</f>
        <v>2Q</v>
      </c>
      <c r="P10" s="214" t="str">
        <f t="array" ref="P10">_xlfn.IFS(AND(MONTH(P$8)&gt;=1,MONTH(P$8)&lt;=3),"3Q",AND(MONTH(P$8)&gt;=4,MONTH(P$8)&lt;=6),"4Q",AND(MONTH(P$8)&gt;=7,MONTH(P$8)&lt;=9),"1Q",AND(MONTH(P$8)&gt;=10,MONTH(P$8)&lt;=12),"2Q")</f>
        <v>4Q</v>
      </c>
      <c r="Q10" s="214" t="str">
        <f t="array" ref="Q10">_xlfn.IFS(AND(MONTH(Q$8)&gt;=1,MONTH(Q$8)&lt;=3),"3Q",AND(MONTH(Q$8)&gt;=4,MONTH(Q$8)&lt;=6),"4Q",AND(MONTH(Q$8)&gt;=7,MONTH(Q$8)&lt;=9),"1Q",AND(MONTH(Q$8)&gt;=10,MONTH(Q$8)&lt;=12),"2Q")</f>
        <v>2Q</v>
      </c>
      <c r="R10" s="214" t="str">
        <f t="array" ref="R10">_xlfn.IFS(AND(MONTH(R$8)&gt;=1,MONTH(R$8)&lt;=3),"3Q",AND(MONTH(R$8)&gt;=4,MONTH(R$8)&lt;=6),"4Q",AND(MONTH(R$8)&gt;=7,MONTH(R$8)&lt;=9),"1Q",AND(MONTH(R$8)&gt;=10,MONTH(R$8)&lt;=12),"2Q")</f>
        <v>4Q</v>
      </c>
      <c r="S10" s="214" t="str">
        <f t="array" ref="S10">_xlfn.IFS(AND(MONTH(S$8)&gt;=1,MONTH(S$8)&lt;=3),"3Q",AND(MONTH(S$8)&gt;=4,MONTH(S$8)&lt;=6),"4Q",AND(MONTH(S$8)&gt;=7,MONTH(S$8)&lt;=9),"1Q",AND(MONTH(S$8)&gt;=10,MONTH(S$8)&lt;=12),"2Q")</f>
        <v>2Q</v>
      </c>
      <c r="T10" s="214" t="str">
        <f t="array" ref="T10">_xlfn.IFS(AND(MONTH(T$8)&gt;=1,MONTH(T$8)&lt;=3),"3Q",AND(MONTH(T$8)&gt;=4,MONTH(T$8)&lt;=6),"4Q",AND(MONTH(T$8)&gt;=7,MONTH(T$8)&lt;=9),"1Q",AND(MONTH(T$8)&gt;=10,MONTH(T$8)&lt;=12),"2Q")</f>
        <v>4Q</v>
      </c>
      <c r="U10" s="214" t="str">
        <f t="array" ref="U10">_xlfn.IFS(AND(MONTH(U$8)&gt;=1,MONTH(U$8)&lt;=3),"3Q",AND(MONTH(U$8)&gt;=4,MONTH(U$8)&lt;=6),"4Q",AND(MONTH(U$8)&gt;=7,MONTH(U$8)&lt;=9),"1Q",AND(MONTH(U$8)&gt;=10,MONTH(U$8)&lt;=12),"2Q")</f>
        <v>2Q</v>
      </c>
      <c r="V10" s="214" t="str">
        <f t="array" ref="V10">_xlfn.IFS(AND(MONTH(V$8)&gt;=1,MONTH(V$8)&lt;=3),"3Q",AND(MONTH(V$8)&gt;=4,MONTH(V$8)&lt;=6),"4Q",AND(MONTH(V$8)&gt;=7,MONTH(V$8)&lt;=9),"1Q",AND(MONTH(V$8)&gt;=10,MONTH(V$8)&lt;=12),"2Q")</f>
        <v>4Q</v>
      </c>
      <c r="W10" s="214" t="str">
        <f t="array" ref="W10">_xlfn.IFS(AND(MONTH(W$8)&gt;=1,MONTH(W$8)&lt;=3),"3Q",AND(MONTH(W$8)&gt;=4,MONTH(W$8)&lt;=6),"4Q",AND(MONTH(W$8)&gt;=7,MONTH(W$8)&lt;=9),"1Q",AND(MONTH(W$8)&gt;=10,MONTH(W$8)&lt;=12),"2Q")</f>
        <v>2Q</v>
      </c>
      <c r="X10" s="214" t="str">
        <f t="array" ref="X10">_xlfn.IFS(AND(MONTH(X$8)&gt;=1,MONTH(X$8)&lt;=3),"3Q",AND(MONTH(X$8)&gt;=4,MONTH(X$8)&lt;=6),"4Q",AND(MONTH(X$8)&gt;=7,MONTH(X$8)&lt;=9),"1Q",AND(MONTH(X$8)&gt;=10,MONTH(X$8)&lt;=12),"2Q")</f>
        <v>4Q</v>
      </c>
      <c r="Y10" s="214" t="str">
        <f t="array" ref="Y10">_xlfn.IFS(AND(MONTH(Y$8)&gt;=1,MONTH(Y$8)&lt;=3),"3Q",AND(MONTH(Y$8)&gt;=4,MONTH(Y$8)&lt;=6),"4Q",AND(MONTH(Y$8)&gt;=7,MONTH(Y$8)&lt;=9),"1Q",AND(MONTH(Y$8)&gt;=10,MONTH(Y$8)&lt;=12),"2Q")</f>
        <v>2Q</v>
      </c>
      <c r="Z10" s="214" t="str">
        <f t="array" ref="Z10">_xlfn.IFS(AND(MONTH(Z$8)&gt;=1,MONTH(Z$8)&lt;=3),"3Q",AND(MONTH(Z$8)&gt;=4,MONTH(Z$8)&lt;=6),"4Q",AND(MONTH(Z$8)&gt;=7,MONTH(Z$8)&lt;=9),"1Q",AND(MONTH(Z$8)&gt;=10,MONTH(Z$8)&lt;=12),"2Q")</f>
        <v>4Q</v>
      </c>
      <c r="AA10" s="214" t="str">
        <f t="array" ref="AA10">_xlfn.IFS(AND(MONTH(AA$8)&gt;=1,MONTH(AA$8)&lt;=3),"3Q",AND(MONTH(AA$8)&gt;=4,MONTH(AA$8)&lt;=6),"4Q",AND(MONTH(AA$8)&gt;=7,MONTH(AA$8)&lt;=9),"1Q",AND(MONTH(AA$8)&gt;=10,MONTH(AA$8)&lt;=12),"2Q")</f>
        <v>2Q</v>
      </c>
      <c r="AB10" s="214" t="str">
        <f t="array" ref="AB10">_xlfn.IFS(AND(MONTH(AB$8)&gt;=1,MONTH(AB$8)&lt;=3),"3Q",AND(MONTH(AB$8)&gt;=4,MONTH(AB$8)&lt;=6),"4Q",AND(MONTH(AB$8)&gt;=7,MONTH(AB$8)&lt;=9),"1Q",AND(MONTH(AB$8)&gt;=10,MONTH(AB$8)&lt;=12),"2Q")</f>
        <v>4Q</v>
      </c>
      <c r="AC10" s="214" t="str">
        <f t="array" ref="AC10">_xlfn.IFS(AND(MONTH(AC$8)&gt;=1,MONTH(AC$8)&lt;=3),"3Q",AND(MONTH(AC$8)&gt;=4,MONTH(AC$8)&lt;=6),"4Q",AND(MONTH(AC$8)&gt;=7,MONTH(AC$8)&lt;=9),"1Q",AND(MONTH(AC$8)&gt;=10,MONTH(AC$8)&lt;=12),"2Q")</f>
        <v>2Q</v>
      </c>
      <c r="AD10" s="214" t="str">
        <f t="array" ref="AD10">_xlfn.IFS(AND(MONTH(AD$8)&gt;=1,MONTH(AD$8)&lt;=3),"3Q",AND(MONTH(AD$8)&gt;=4,MONTH(AD$8)&lt;=6),"4Q",AND(MONTH(AD$8)&gt;=7,MONTH(AD$8)&lt;=9),"1Q",AND(MONTH(AD$8)&gt;=10,MONTH(AD$8)&lt;=12),"2Q")</f>
        <v>4Q</v>
      </c>
      <c r="AE10" s="214" t="str">
        <f t="array" ref="AE10">_xlfn.IFS(AND(MONTH(AE$8)&gt;=1,MONTH(AE$8)&lt;=3),"3Q",AND(MONTH(AE$8)&gt;=4,MONTH(AE$8)&lt;=6),"4Q",AND(MONTH(AE$8)&gt;=7,MONTH(AE$8)&lt;=9),"1Q",AND(MONTH(AE$8)&gt;=10,MONTH(AE$8)&lt;=12),"2Q")</f>
        <v>2Q</v>
      </c>
      <c r="AF10" s="214" t="str">
        <f t="array" ref="AF10">_xlfn.IFS(AND(MONTH(AF$8)&gt;=1,MONTH(AF$8)&lt;=3),"3Q",AND(MONTH(AF$8)&gt;=4,MONTH(AF$8)&lt;=6),"4Q",AND(MONTH(AF$8)&gt;=7,MONTH(AF$8)&lt;=9),"1Q",AND(MONTH(AF$8)&gt;=10,MONTH(AF$8)&lt;=12),"2Q")</f>
        <v>4Q</v>
      </c>
      <c r="AG10" s="214" t="str">
        <f t="array" ref="AG10">_xlfn.IFS(AND(MONTH(AG$8)&gt;=1,MONTH(AG$8)&lt;=3),"3Q",AND(MONTH(AG$8)&gt;=4,MONTH(AG$8)&lt;=6),"4Q",AND(MONTH(AG$8)&gt;=7,MONTH(AG$8)&lt;=9),"1Q",AND(MONTH(AG$8)&gt;=10,MONTH(AG$8)&lt;=12),"2Q")</f>
        <v>2Q</v>
      </c>
      <c r="AH10" s="214" t="str">
        <f t="array" ref="AH10">_xlfn.IFS(AND(MONTH(AH$8)&gt;=1,MONTH(AH$8)&lt;=3),"3Q",AND(MONTH(AH$8)&gt;=4,MONTH(AH$8)&lt;=6),"4Q",AND(MONTH(AH$8)&gt;=7,MONTH(AH$8)&lt;=9),"1Q",AND(MONTH(AH$8)&gt;=10,MONTH(AH$8)&lt;=12),"2Q")</f>
        <v>4Q</v>
      </c>
      <c r="AI10" s="214" t="str">
        <f t="array" ref="AI10">_xlfn.IFS(AND(MONTH(AI$8)&gt;=1,MONTH(AI$8)&lt;=3),"3Q",AND(MONTH(AI$8)&gt;=4,MONTH(AI$8)&lt;=6),"4Q",AND(MONTH(AI$8)&gt;=7,MONTH(AI$8)&lt;=9),"1Q",AND(MONTH(AI$8)&gt;=10,MONTH(AI$8)&lt;=12),"2Q")</f>
        <v>2Q</v>
      </c>
      <c r="AJ10" s="214" t="str">
        <f t="array" ref="AJ10">_xlfn.IFS(AND(MONTH(AJ$8)&gt;=1,MONTH(AJ$8)&lt;=3),"3Q",AND(MONTH(AJ$8)&gt;=4,MONTH(AJ$8)&lt;=6),"4Q",AND(MONTH(AJ$8)&gt;=7,MONTH(AJ$8)&lt;=9),"1Q",AND(MONTH(AJ$8)&gt;=10,MONTH(AJ$8)&lt;=12),"2Q")</f>
        <v>4Q</v>
      </c>
      <c r="AK10" s="214" t="str">
        <f t="array" ref="AK10">_xlfn.IFS(AND(MONTH(AK$8)&gt;=1,MONTH(AK$8)&lt;=3),"3Q",AND(MONTH(AK$8)&gt;=4,MONTH(AK$8)&lt;=6),"4Q",AND(MONTH(AK$8)&gt;=7,MONTH(AK$8)&lt;=9),"1Q",AND(MONTH(AK$8)&gt;=10,MONTH(AK$8)&lt;=12),"2Q")</f>
        <v>2Q</v>
      </c>
      <c r="AL10" s="214" t="str">
        <f t="array" ref="AL10">_xlfn.IFS(AND(MONTH(AL$8)&gt;=1,MONTH(AL$8)&lt;=3),"3Q",AND(MONTH(AL$8)&gt;=4,MONTH(AL$8)&lt;=6),"4Q",AND(MONTH(AL$8)&gt;=7,MONTH(AL$8)&lt;=9),"1Q",AND(MONTH(AL$8)&gt;=10,MONTH(AL$8)&lt;=12),"2Q")</f>
        <v>4Q</v>
      </c>
    </row>
    <row r="11" spans="1:38" s="205" customFormat="1" outlineLevel="1" x14ac:dyDescent="0.2">
      <c r="A11" s="206"/>
      <c r="B11" s="211" t="s">
        <v>12</v>
      </c>
      <c r="C11" s="212"/>
      <c r="D11" s="213"/>
      <c r="E11" s="214" t="str">
        <f t="array" ref="E11">_xlfn.IFS(AND(MONTH(E$8)&gt;=1,MONTH(E$8)&lt;=6),"2H",AND(MONTH(E$8)&gt;=7,MONTH(E$8)&lt;=12),"1H")</f>
        <v>1H</v>
      </c>
      <c r="F11" s="214" t="str">
        <f t="array" ref="F11">_xlfn.IFS(AND(MONTH(F$8)&gt;=1,MONTH(F$8)&lt;=6),"2H",AND(MONTH(F$8)&gt;=7,MONTH(F$8)&lt;=12),"1H")</f>
        <v>2H</v>
      </c>
      <c r="G11" s="214" t="str">
        <f t="array" ref="G11">_xlfn.IFS(AND(MONTH(G$8)&gt;=1,MONTH(G$8)&lt;=6),"2H",AND(MONTH(G$8)&gt;=7,MONTH(G$8)&lt;=12),"1H")</f>
        <v>1H</v>
      </c>
      <c r="H11" s="214" t="str">
        <f t="array" ref="H11">_xlfn.IFS(AND(MONTH(H$8)&gt;=1,MONTH(H$8)&lt;=6),"2H",AND(MONTH(H$8)&gt;=7,MONTH(H$8)&lt;=12),"1H")</f>
        <v>2H</v>
      </c>
      <c r="I11" s="214" t="str">
        <f t="array" ref="I11">_xlfn.IFS(AND(MONTH(I$8)&gt;=1,MONTH(I$8)&lt;=6),"2H",AND(MONTH(I$8)&gt;=7,MONTH(I$8)&lt;=12),"1H")</f>
        <v>1H</v>
      </c>
      <c r="J11" s="214" t="str">
        <f t="array" ref="J11">_xlfn.IFS(AND(MONTH(J$8)&gt;=1,MONTH(J$8)&lt;=6),"2H",AND(MONTH(J$8)&gt;=7,MONTH(J$8)&lt;=12),"1H")</f>
        <v>2H</v>
      </c>
      <c r="K11" s="214" t="str">
        <f t="array" ref="K11">_xlfn.IFS(AND(MONTH(K$8)&gt;=1,MONTH(K$8)&lt;=6),"2H",AND(MONTH(K$8)&gt;=7,MONTH(K$8)&lt;=12),"1H")</f>
        <v>1H</v>
      </c>
      <c r="L11" s="214" t="str">
        <f t="array" ref="L11">_xlfn.IFS(AND(MONTH(L$8)&gt;=1,MONTH(L$8)&lt;=6),"2H",AND(MONTH(L$8)&gt;=7,MONTH(L$8)&lt;=12),"1H")</f>
        <v>2H</v>
      </c>
      <c r="M11" s="214" t="str">
        <f t="array" ref="M11">_xlfn.IFS(AND(MONTH(M$8)&gt;=1,MONTH(M$8)&lt;=6),"2H",AND(MONTH(M$8)&gt;=7,MONTH(M$8)&lt;=12),"1H")</f>
        <v>1H</v>
      </c>
      <c r="N11" s="214" t="str">
        <f t="array" ref="N11">_xlfn.IFS(AND(MONTH(N$8)&gt;=1,MONTH(N$8)&lt;=6),"2H",AND(MONTH(N$8)&gt;=7,MONTH(N$8)&lt;=12),"1H")</f>
        <v>2H</v>
      </c>
      <c r="O11" s="214" t="str">
        <f t="array" ref="O11">_xlfn.IFS(AND(MONTH(O$8)&gt;=1,MONTH(O$8)&lt;=6),"2H",AND(MONTH(O$8)&gt;=7,MONTH(O$8)&lt;=12),"1H")</f>
        <v>1H</v>
      </c>
      <c r="P11" s="214" t="str">
        <f t="array" ref="P11">_xlfn.IFS(AND(MONTH(P$8)&gt;=1,MONTH(P$8)&lt;=6),"2H",AND(MONTH(P$8)&gt;=7,MONTH(P$8)&lt;=12),"1H")</f>
        <v>2H</v>
      </c>
      <c r="Q11" s="214" t="str">
        <f t="array" ref="Q11">_xlfn.IFS(AND(MONTH(Q$8)&gt;=1,MONTH(Q$8)&lt;=6),"2H",AND(MONTH(Q$8)&gt;=7,MONTH(Q$8)&lt;=12),"1H")</f>
        <v>1H</v>
      </c>
      <c r="R11" s="214" t="str">
        <f t="array" ref="R11">_xlfn.IFS(AND(MONTH(R$8)&gt;=1,MONTH(R$8)&lt;=6),"2H",AND(MONTH(R$8)&gt;=7,MONTH(R$8)&lt;=12),"1H")</f>
        <v>2H</v>
      </c>
      <c r="S11" s="214" t="str">
        <f t="array" ref="S11">_xlfn.IFS(AND(MONTH(S$8)&gt;=1,MONTH(S$8)&lt;=6),"2H",AND(MONTH(S$8)&gt;=7,MONTH(S$8)&lt;=12),"1H")</f>
        <v>1H</v>
      </c>
      <c r="T11" s="214" t="str">
        <f t="array" ref="T11">_xlfn.IFS(AND(MONTH(T$8)&gt;=1,MONTH(T$8)&lt;=6),"2H",AND(MONTH(T$8)&gt;=7,MONTH(T$8)&lt;=12),"1H")</f>
        <v>2H</v>
      </c>
      <c r="U11" s="214" t="str">
        <f t="array" ref="U11">_xlfn.IFS(AND(MONTH(U$8)&gt;=1,MONTH(U$8)&lt;=6),"2H",AND(MONTH(U$8)&gt;=7,MONTH(U$8)&lt;=12),"1H")</f>
        <v>1H</v>
      </c>
      <c r="V11" s="214" t="str">
        <f t="array" ref="V11">_xlfn.IFS(AND(MONTH(V$8)&gt;=1,MONTH(V$8)&lt;=6),"2H",AND(MONTH(V$8)&gt;=7,MONTH(V$8)&lt;=12),"1H")</f>
        <v>2H</v>
      </c>
      <c r="W11" s="214" t="str">
        <f t="array" ref="W11">_xlfn.IFS(AND(MONTH(W$8)&gt;=1,MONTH(W$8)&lt;=6),"2H",AND(MONTH(W$8)&gt;=7,MONTH(W$8)&lt;=12),"1H")</f>
        <v>1H</v>
      </c>
      <c r="X11" s="214" t="str">
        <f t="array" ref="X11">_xlfn.IFS(AND(MONTH(X$8)&gt;=1,MONTH(X$8)&lt;=6),"2H",AND(MONTH(X$8)&gt;=7,MONTH(X$8)&lt;=12),"1H")</f>
        <v>2H</v>
      </c>
      <c r="Y11" s="214" t="str">
        <f t="array" ref="Y11">_xlfn.IFS(AND(MONTH(Y$8)&gt;=1,MONTH(Y$8)&lt;=6),"2H",AND(MONTH(Y$8)&gt;=7,MONTH(Y$8)&lt;=12),"1H")</f>
        <v>1H</v>
      </c>
      <c r="Z11" s="214" t="str">
        <f t="array" ref="Z11">_xlfn.IFS(AND(MONTH(Z$8)&gt;=1,MONTH(Z$8)&lt;=6),"2H",AND(MONTH(Z$8)&gt;=7,MONTH(Z$8)&lt;=12),"1H")</f>
        <v>2H</v>
      </c>
      <c r="AA11" s="214" t="str">
        <f t="array" ref="AA11">_xlfn.IFS(AND(MONTH(AA$8)&gt;=1,MONTH(AA$8)&lt;=6),"2H",AND(MONTH(AA$8)&gt;=7,MONTH(AA$8)&lt;=12),"1H")</f>
        <v>1H</v>
      </c>
      <c r="AB11" s="214" t="str">
        <f t="array" ref="AB11">_xlfn.IFS(AND(MONTH(AB$8)&gt;=1,MONTH(AB$8)&lt;=6),"2H",AND(MONTH(AB$8)&gt;=7,MONTH(AB$8)&lt;=12),"1H")</f>
        <v>2H</v>
      </c>
      <c r="AC11" s="214" t="str">
        <f t="array" ref="AC11">_xlfn.IFS(AND(MONTH(AC$8)&gt;=1,MONTH(AC$8)&lt;=6),"2H",AND(MONTH(AC$8)&gt;=7,MONTH(AC$8)&lt;=12),"1H")</f>
        <v>1H</v>
      </c>
      <c r="AD11" s="214" t="str">
        <f t="array" ref="AD11">_xlfn.IFS(AND(MONTH(AD$8)&gt;=1,MONTH(AD$8)&lt;=6),"2H",AND(MONTH(AD$8)&gt;=7,MONTH(AD$8)&lt;=12),"1H")</f>
        <v>2H</v>
      </c>
      <c r="AE11" s="214" t="str">
        <f t="array" ref="AE11">_xlfn.IFS(AND(MONTH(AE$8)&gt;=1,MONTH(AE$8)&lt;=6),"2H",AND(MONTH(AE$8)&gt;=7,MONTH(AE$8)&lt;=12),"1H")</f>
        <v>1H</v>
      </c>
      <c r="AF11" s="214" t="str">
        <f t="array" ref="AF11">_xlfn.IFS(AND(MONTH(AF$8)&gt;=1,MONTH(AF$8)&lt;=6),"2H",AND(MONTH(AF$8)&gt;=7,MONTH(AF$8)&lt;=12),"1H")</f>
        <v>2H</v>
      </c>
      <c r="AG11" s="214" t="str">
        <f t="array" ref="AG11">_xlfn.IFS(AND(MONTH(AG$8)&gt;=1,MONTH(AG$8)&lt;=6),"2H",AND(MONTH(AG$8)&gt;=7,MONTH(AG$8)&lt;=12),"1H")</f>
        <v>1H</v>
      </c>
      <c r="AH11" s="214" t="str">
        <f t="array" ref="AH11">_xlfn.IFS(AND(MONTH(AH$8)&gt;=1,MONTH(AH$8)&lt;=6),"2H",AND(MONTH(AH$8)&gt;=7,MONTH(AH$8)&lt;=12),"1H")</f>
        <v>2H</v>
      </c>
      <c r="AI11" s="214" t="str">
        <f t="array" ref="AI11">_xlfn.IFS(AND(MONTH(AI$8)&gt;=1,MONTH(AI$8)&lt;=6),"2H",AND(MONTH(AI$8)&gt;=7,MONTH(AI$8)&lt;=12),"1H")</f>
        <v>1H</v>
      </c>
      <c r="AJ11" s="214" t="str">
        <f t="array" ref="AJ11">_xlfn.IFS(AND(MONTH(AJ$8)&gt;=1,MONTH(AJ$8)&lt;=6),"2H",AND(MONTH(AJ$8)&gt;=7,MONTH(AJ$8)&lt;=12),"1H")</f>
        <v>2H</v>
      </c>
      <c r="AK11" s="214" t="str">
        <f t="array" ref="AK11">_xlfn.IFS(AND(MONTH(AK$8)&gt;=1,MONTH(AK$8)&lt;=6),"2H",AND(MONTH(AK$8)&gt;=7,MONTH(AK$8)&lt;=12),"1H")</f>
        <v>1H</v>
      </c>
      <c r="AL11" s="214" t="str">
        <f t="array" ref="AL11">_xlfn.IFS(AND(MONTH(AL$8)&gt;=1,MONTH(AL$8)&lt;=6),"2H",AND(MONTH(AL$8)&gt;=7,MONTH(AL$8)&lt;=12),"1H")</f>
        <v>2H</v>
      </c>
    </row>
    <row r="12" spans="1:38" s="205" customFormat="1" outlineLevel="1" x14ac:dyDescent="0.2">
      <c r="A12" s="206"/>
      <c r="B12" s="211" t="s">
        <v>13</v>
      </c>
      <c r="C12" s="212"/>
      <c r="D12" s="215"/>
      <c r="E12" s="214" t="str">
        <f t="array" ref="E12">_xlfn.IFS(AND(MONTH(E$8)&gt;=1,MONTH(E$8)&lt;=6),RIGHT(YEAR(E8),2),AND(MONTH(E$8)&gt;=7,MONTH(E$8)&lt;=12),RIGHT(YEAR(E8)+1,2))</f>
        <v>24</v>
      </c>
      <c r="F12" s="214" t="str">
        <f t="array" ref="F12">_xlfn.IFS(AND(MONTH(F$8)&gt;=1,MONTH(F$8)&lt;=6),RIGHT(YEAR(F8),2),AND(MONTH(F$8)&gt;=7,MONTH(F$8)&lt;=12),RIGHT(YEAR(F8)+1,2))</f>
        <v>24</v>
      </c>
      <c r="G12" s="214" t="str">
        <f t="array" ref="G12">_xlfn.IFS(AND(MONTH(G$8)&gt;=1,MONTH(G$8)&lt;=6),RIGHT(YEAR(G8),2),AND(MONTH(G$8)&gt;=7,MONTH(G$8)&lt;=12),RIGHT(YEAR(G8)+1,2))</f>
        <v>25</v>
      </c>
      <c r="H12" s="214" t="str">
        <f t="array" ref="H12">_xlfn.IFS(AND(MONTH(H$8)&gt;=1,MONTH(H$8)&lt;=6),RIGHT(YEAR(H8),2),AND(MONTH(H$8)&gt;=7,MONTH(H$8)&lt;=12),RIGHT(YEAR(H8)+1,2))</f>
        <v>25</v>
      </c>
      <c r="I12" s="214" t="str">
        <f t="array" ref="I12">_xlfn.IFS(AND(MONTH(I$8)&gt;=1,MONTH(I$8)&lt;=6),RIGHT(YEAR(I8),2),AND(MONTH(I$8)&gt;=7,MONTH(I$8)&lt;=12),RIGHT(YEAR(I8)+1,2))</f>
        <v>26</v>
      </c>
      <c r="J12" s="214" t="str">
        <f t="array" ref="J12">_xlfn.IFS(AND(MONTH(J$8)&gt;=1,MONTH(J$8)&lt;=6),RIGHT(YEAR(J8),2),AND(MONTH(J$8)&gt;=7,MONTH(J$8)&lt;=12),RIGHT(YEAR(J8)+1,2))</f>
        <v>26</v>
      </c>
      <c r="K12" s="214" t="str">
        <f t="array" ref="K12">_xlfn.IFS(AND(MONTH(K$8)&gt;=1,MONTH(K$8)&lt;=6),RIGHT(YEAR(K8),2),AND(MONTH(K$8)&gt;=7,MONTH(K$8)&lt;=12),RIGHT(YEAR(K8)+1,2))</f>
        <v>27</v>
      </c>
      <c r="L12" s="214" t="str">
        <f t="array" ref="L12">_xlfn.IFS(AND(MONTH(L$8)&gt;=1,MONTH(L$8)&lt;=6),RIGHT(YEAR(L8),2),AND(MONTH(L$8)&gt;=7,MONTH(L$8)&lt;=12),RIGHT(YEAR(L8)+1,2))</f>
        <v>27</v>
      </c>
      <c r="M12" s="214" t="str">
        <f t="array" ref="M12">_xlfn.IFS(AND(MONTH(M$8)&gt;=1,MONTH(M$8)&lt;=6),RIGHT(YEAR(M8),2),AND(MONTH(M$8)&gt;=7,MONTH(M$8)&lt;=12),RIGHT(YEAR(M8)+1,2))</f>
        <v>28</v>
      </c>
      <c r="N12" s="214" t="str">
        <f t="array" ref="N12">_xlfn.IFS(AND(MONTH(N$8)&gt;=1,MONTH(N$8)&lt;=6),RIGHT(YEAR(N8),2),AND(MONTH(N$8)&gt;=7,MONTH(N$8)&lt;=12),RIGHT(YEAR(N8)+1,2))</f>
        <v>28</v>
      </c>
      <c r="O12" s="214" t="str">
        <f t="array" ref="O12">_xlfn.IFS(AND(MONTH(O$8)&gt;=1,MONTH(O$8)&lt;=6),RIGHT(YEAR(O8),2),AND(MONTH(O$8)&gt;=7,MONTH(O$8)&lt;=12),RIGHT(YEAR(O8)+1,2))</f>
        <v>29</v>
      </c>
      <c r="P12" s="214" t="str">
        <f t="array" ref="P12">_xlfn.IFS(AND(MONTH(P$8)&gt;=1,MONTH(P$8)&lt;=6),RIGHT(YEAR(P8),2),AND(MONTH(P$8)&gt;=7,MONTH(P$8)&lt;=12),RIGHT(YEAR(P8)+1,2))</f>
        <v>29</v>
      </c>
      <c r="Q12" s="214" t="str">
        <f t="array" ref="Q12">_xlfn.IFS(AND(MONTH(Q$8)&gt;=1,MONTH(Q$8)&lt;=6),RIGHT(YEAR(Q8),2),AND(MONTH(Q$8)&gt;=7,MONTH(Q$8)&lt;=12),RIGHT(YEAR(Q8)+1,2))</f>
        <v>30</v>
      </c>
      <c r="R12" s="214" t="str">
        <f t="array" ref="R12">_xlfn.IFS(AND(MONTH(R$8)&gt;=1,MONTH(R$8)&lt;=6),RIGHT(YEAR(R8),2),AND(MONTH(R$8)&gt;=7,MONTH(R$8)&lt;=12),RIGHT(YEAR(R8)+1,2))</f>
        <v>30</v>
      </c>
      <c r="S12" s="214" t="str">
        <f t="array" ref="S12">_xlfn.IFS(AND(MONTH(S$8)&gt;=1,MONTH(S$8)&lt;=6),RIGHT(YEAR(S8),2),AND(MONTH(S$8)&gt;=7,MONTH(S$8)&lt;=12),RIGHT(YEAR(S8)+1,2))</f>
        <v>31</v>
      </c>
      <c r="T12" s="214" t="str">
        <f t="array" ref="T12">_xlfn.IFS(AND(MONTH(T$8)&gt;=1,MONTH(T$8)&lt;=6),RIGHT(YEAR(T8),2),AND(MONTH(T$8)&gt;=7,MONTH(T$8)&lt;=12),RIGHT(YEAR(T8)+1,2))</f>
        <v>31</v>
      </c>
      <c r="U12" s="214" t="str">
        <f t="array" ref="U12">_xlfn.IFS(AND(MONTH(U$8)&gt;=1,MONTH(U$8)&lt;=6),RIGHT(YEAR(U8),2),AND(MONTH(U$8)&gt;=7,MONTH(U$8)&lt;=12),RIGHT(YEAR(U8)+1,2))</f>
        <v>32</v>
      </c>
      <c r="V12" s="214" t="str">
        <f t="array" ref="V12">_xlfn.IFS(AND(MONTH(V$8)&gt;=1,MONTH(V$8)&lt;=6),RIGHT(YEAR(V8),2),AND(MONTH(V$8)&gt;=7,MONTH(V$8)&lt;=12),RIGHT(YEAR(V8)+1,2))</f>
        <v>32</v>
      </c>
      <c r="W12" s="214" t="str">
        <f t="array" ref="W12">_xlfn.IFS(AND(MONTH(W$8)&gt;=1,MONTH(W$8)&lt;=6),RIGHT(YEAR(W8),2),AND(MONTH(W$8)&gt;=7,MONTH(W$8)&lt;=12),RIGHT(YEAR(W8)+1,2))</f>
        <v>33</v>
      </c>
      <c r="X12" s="214" t="str">
        <f t="array" ref="X12">_xlfn.IFS(AND(MONTH(X$8)&gt;=1,MONTH(X$8)&lt;=6),RIGHT(YEAR(X8),2),AND(MONTH(X$8)&gt;=7,MONTH(X$8)&lt;=12),RIGHT(YEAR(X8)+1,2))</f>
        <v>33</v>
      </c>
      <c r="Y12" s="214" t="str">
        <f t="array" ref="Y12">_xlfn.IFS(AND(MONTH(Y$8)&gt;=1,MONTH(Y$8)&lt;=6),RIGHT(YEAR(Y8),2),AND(MONTH(Y$8)&gt;=7,MONTH(Y$8)&lt;=12),RIGHT(YEAR(Y8)+1,2))</f>
        <v>34</v>
      </c>
      <c r="Z12" s="214" t="str">
        <f t="array" ref="Z12">_xlfn.IFS(AND(MONTH(Z$8)&gt;=1,MONTH(Z$8)&lt;=6),RIGHT(YEAR(Z8),2),AND(MONTH(Z$8)&gt;=7,MONTH(Z$8)&lt;=12),RIGHT(YEAR(Z8)+1,2))</f>
        <v>34</v>
      </c>
      <c r="AA12" s="214" t="str">
        <f t="array" ref="AA12">_xlfn.IFS(AND(MONTH(AA$8)&gt;=1,MONTH(AA$8)&lt;=6),RIGHT(YEAR(AA8),2),AND(MONTH(AA$8)&gt;=7,MONTH(AA$8)&lt;=12),RIGHT(YEAR(AA8)+1,2))</f>
        <v>35</v>
      </c>
      <c r="AB12" s="214" t="str">
        <f t="array" ref="AB12">_xlfn.IFS(AND(MONTH(AB$8)&gt;=1,MONTH(AB$8)&lt;=6),RIGHT(YEAR(AB8),2),AND(MONTH(AB$8)&gt;=7,MONTH(AB$8)&lt;=12),RIGHT(YEAR(AB8)+1,2))</f>
        <v>35</v>
      </c>
      <c r="AC12" s="214" t="str">
        <f t="array" ref="AC12">_xlfn.IFS(AND(MONTH(AC$8)&gt;=1,MONTH(AC$8)&lt;=6),RIGHT(YEAR(AC8),2),AND(MONTH(AC$8)&gt;=7,MONTH(AC$8)&lt;=12),RIGHT(YEAR(AC8)+1,2))</f>
        <v>36</v>
      </c>
      <c r="AD12" s="214" t="str">
        <f t="array" ref="AD12">_xlfn.IFS(AND(MONTH(AD$8)&gt;=1,MONTH(AD$8)&lt;=6),RIGHT(YEAR(AD8),2),AND(MONTH(AD$8)&gt;=7,MONTH(AD$8)&lt;=12),RIGHT(YEAR(AD8)+1,2))</f>
        <v>36</v>
      </c>
      <c r="AE12" s="214" t="str">
        <f t="array" ref="AE12">_xlfn.IFS(AND(MONTH(AE$8)&gt;=1,MONTH(AE$8)&lt;=6),RIGHT(YEAR(AE8),2),AND(MONTH(AE$8)&gt;=7,MONTH(AE$8)&lt;=12),RIGHT(YEAR(AE8)+1,2))</f>
        <v>37</v>
      </c>
      <c r="AF12" s="214" t="str">
        <f t="array" ref="AF12">_xlfn.IFS(AND(MONTH(AF$8)&gt;=1,MONTH(AF$8)&lt;=6),RIGHT(YEAR(AF8),2),AND(MONTH(AF$8)&gt;=7,MONTH(AF$8)&lt;=12),RIGHT(YEAR(AF8)+1,2))</f>
        <v>37</v>
      </c>
      <c r="AG12" s="214" t="str">
        <f t="array" ref="AG12">_xlfn.IFS(AND(MONTH(AG$8)&gt;=1,MONTH(AG$8)&lt;=6),RIGHT(YEAR(AG8),2),AND(MONTH(AG$8)&gt;=7,MONTH(AG$8)&lt;=12),RIGHT(YEAR(AG8)+1,2))</f>
        <v>38</v>
      </c>
      <c r="AH12" s="214" t="str">
        <f t="array" ref="AH12">_xlfn.IFS(AND(MONTH(AH$8)&gt;=1,MONTH(AH$8)&lt;=6),RIGHT(YEAR(AH8),2),AND(MONTH(AH$8)&gt;=7,MONTH(AH$8)&lt;=12),RIGHT(YEAR(AH8)+1,2))</f>
        <v>38</v>
      </c>
      <c r="AI12" s="214" t="str">
        <f t="array" ref="AI12">_xlfn.IFS(AND(MONTH(AI$8)&gt;=1,MONTH(AI$8)&lt;=6),RIGHT(YEAR(AI8),2),AND(MONTH(AI$8)&gt;=7,MONTH(AI$8)&lt;=12),RIGHT(YEAR(AI8)+1,2))</f>
        <v>39</v>
      </c>
      <c r="AJ12" s="214" t="str">
        <f t="array" ref="AJ12">_xlfn.IFS(AND(MONTH(AJ$8)&gt;=1,MONTH(AJ$8)&lt;=6),RIGHT(YEAR(AJ8),2),AND(MONTH(AJ$8)&gt;=7,MONTH(AJ$8)&lt;=12),RIGHT(YEAR(AJ8)+1,2))</f>
        <v>39</v>
      </c>
      <c r="AK12" s="214" t="str">
        <f t="array" ref="AK12">_xlfn.IFS(AND(MONTH(AK$8)&gt;=1,MONTH(AK$8)&lt;=6),RIGHT(YEAR(AK8),2),AND(MONTH(AK$8)&gt;=7,MONTH(AK$8)&lt;=12),RIGHT(YEAR(AK8)+1,2))</f>
        <v>40</v>
      </c>
      <c r="AL12" s="214" t="str">
        <f t="array" ref="AL12">_xlfn.IFS(AND(MONTH(AL$8)&gt;=1,MONTH(AL$8)&lt;=6),RIGHT(YEAR(AL8),2),AND(MONTH(AL$8)&gt;=7,MONTH(AL$8)&lt;=12),RIGHT(YEAR(AL8)+1,2))</f>
        <v>40</v>
      </c>
    </row>
    <row r="13" spans="1:38" s="205" customFormat="1" outlineLevel="1" x14ac:dyDescent="0.2">
      <c r="A13" s="206"/>
      <c r="B13" s="211" t="s">
        <v>14</v>
      </c>
      <c r="C13" s="212"/>
      <c r="D13" s="215"/>
      <c r="E13" s="214" t="str">
        <f t="shared" ref="E13:AL13" si="3">E$11&amp;TEXT(E$12,"00")</f>
        <v>1H24</v>
      </c>
      <c r="F13" s="214" t="str">
        <f t="shared" si="3"/>
        <v>2H24</v>
      </c>
      <c r="G13" s="214" t="str">
        <f t="shared" si="3"/>
        <v>1H25</v>
      </c>
      <c r="H13" s="214" t="str">
        <f t="shared" si="3"/>
        <v>2H25</v>
      </c>
      <c r="I13" s="214" t="str">
        <f t="shared" si="3"/>
        <v>1H26</v>
      </c>
      <c r="J13" s="214" t="str">
        <f t="shared" si="3"/>
        <v>2H26</v>
      </c>
      <c r="K13" s="214" t="str">
        <f t="shared" si="3"/>
        <v>1H27</v>
      </c>
      <c r="L13" s="214" t="str">
        <f t="shared" si="3"/>
        <v>2H27</v>
      </c>
      <c r="M13" s="214" t="str">
        <f t="shared" si="3"/>
        <v>1H28</v>
      </c>
      <c r="N13" s="214" t="str">
        <f t="shared" si="3"/>
        <v>2H28</v>
      </c>
      <c r="O13" s="214" t="str">
        <f t="shared" si="3"/>
        <v>1H29</v>
      </c>
      <c r="P13" s="214" t="str">
        <f t="shared" si="3"/>
        <v>2H29</v>
      </c>
      <c r="Q13" s="214" t="str">
        <f t="shared" si="3"/>
        <v>1H30</v>
      </c>
      <c r="R13" s="214" t="str">
        <f t="shared" si="3"/>
        <v>2H30</v>
      </c>
      <c r="S13" s="214" t="str">
        <f t="shared" si="3"/>
        <v>1H31</v>
      </c>
      <c r="T13" s="214" t="str">
        <f t="shared" si="3"/>
        <v>2H31</v>
      </c>
      <c r="U13" s="214" t="str">
        <f t="shared" si="3"/>
        <v>1H32</v>
      </c>
      <c r="V13" s="214" t="str">
        <f t="shared" si="3"/>
        <v>2H32</v>
      </c>
      <c r="W13" s="214" t="str">
        <f t="shared" si="3"/>
        <v>1H33</v>
      </c>
      <c r="X13" s="214" t="str">
        <f t="shared" si="3"/>
        <v>2H33</v>
      </c>
      <c r="Y13" s="214" t="str">
        <f t="shared" si="3"/>
        <v>1H34</v>
      </c>
      <c r="Z13" s="214" t="str">
        <f t="shared" si="3"/>
        <v>2H34</v>
      </c>
      <c r="AA13" s="214" t="str">
        <f t="shared" si="3"/>
        <v>1H35</v>
      </c>
      <c r="AB13" s="214" t="str">
        <f t="shared" si="3"/>
        <v>2H35</v>
      </c>
      <c r="AC13" s="214" t="str">
        <f t="shared" si="3"/>
        <v>1H36</v>
      </c>
      <c r="AD13" s="214" t="str">
        <f t="shared" si="3"/>
        <v>2H36</v>
      </c>
      <c r="AE13" s="214" t="str">
        <f t="shared" si="3"/>
        <v>1H37</v>
      </c>
      <c r="AF13" s="214" t="str">
        <f t="shared" si="3"/>
        <v>2H37</v>
      </c>
      <c r="AG13" s="214" t="str">
        <f t="shared" si="3"/>
        <v>1H38</v>
      </c>
      <c r="AH13" s="214" t="str">
        <f t="shared" si="3"/>
        <v>2H38</v>
      </c>
      <c r="AI13" s="214" t="str">
        <f t="shared" si="3"/>
        <v>1H39</v>
      </c>
      <c r="AJ13" s="214" t="str">
        <f t="shared" si="3"/>
        <v>2H39</v>
      </c>
      <c r="AK13" s="214" t="str">
        <f t="shared" si="3"/>
        <v>1H40</v>
      </c>
      <c r="AL13" s="214" t="str">
        <f t="shared" si="3"/>
        <v>2H40</v>
      </c>
    </row>
    <row r="14" spans="1:38" s="205" customFormat="1" outlineLevel="1" x14ac:dyDescent="0.2">
      <c r="A14" s="206"/>
      <c r="B14" s="211" t="s">
        <v>14</v>
      </c>
      <c r="C14" s="212"/>
      <c r="D14" s="215"/>
      <c r="E14" s="214" t="str">
        <f t="shared" ref="E14:AL14" si="4">"FY"&amp;E12</f>
        <v>FY24</v>
      </c>
      <c r="F14" s="214" t="str">
        <f t="shared" si="4"/>
        <v>FY24</v>
      </c>
      <c r="G14" s="214" t="str">
        <f t="shared" si="4"/>
        <v>FY25</v>
      </c>
      <c r="H14" s="214" t="str">
        <f t="shared" si="4"/>
        <v>FY25</v>
      </c>
      <c r="I14" s="214" t="str">
        <f t="shared" si="4"/>
        <v>FY26</v>
      </c>
      <c r="J14" s="214" t="str">
        <f t="shared" si="4"/>
        <v>FY26</v>
      </c>
      <c r="K14" s="214" t="str">
        <f t="shared" si="4"/>
        <v>FY27</v>
      </c>
      <c r="L14" s="214" t="str">
        <f t="shared" si="4"/>
        <v>FY27</v>
      </c>
      <c r="M14" s="214" t="str">
        <f t="shared" si="4"/>
        <v>FY28</v>
      </c>
      <c r="N14" s="214" t="str">
        <f t="shared" si="4"/>
        <v>FY28</v>
      </c>
      <c r="O14" s="214" t="str">
        <f t="shared" si="4"/>
        <v>FY29</v>
      </c>
      <c r="P14" s="214" t="str">
        <f t="shared" si="4"/>
        <v>FY29</v>
      </c>
      <c r="Q14" s="214" t="str">
        <f t="shared" si="4"/>
        <v>FY30</v>
      </c>
      <c r="R14" s="214" t="str">
        <f t="shared" si="4"/>
        <v>FY30</v>
      </c>
      <c r="S14" s="214" t="str">
        <f t="shared" si="4"/>
        <v>FY31</v>
      </c>
      <c r="T14" s="214" t="str">
        <f t="shared" si="4"/>
        <v>FY31</v>
      </c>
      <c r="U14" s="214" t="str">
        <f t="shared" si="4"/>
        <v>FY32</v>
      </c>
      <c r="V14" s="214" t="str">
        <f t="shared" si="4"/>
        <v>FY32</v>
      </c>
      <c r="W14" s="214" t="str">
        <f t="shared" si="4"/>
        <v>FY33</v>
      </c>
      <c r="X14" s="214" t="str">
        <f t="shared" si="4"/>
        <v>FY33</v>
      </c>
      <c r="Y14" s="214" t="str">
        <f t="shared" si="4"/>
        <v>FY34</v>
      </c>
      <c r="Z14" s="214" t="str">
        <f t="shared" si="4"/>
        <v>FY34</v>
      </c>
      <c r="AA14" s="214" t="str">
        <f t="shared" si="4"/>
        <v>FY35</v>
      </c>
      <c r="AB14" s="214" t="str">
        <f t="shared" si="4"/>
        <v>FY35</v>
      </c>
      <c r="AC14" s="214" t="str">
        <f t="shared" si="4"/>
        <v>FY36</v>
      </c>
      <c r="AD14" s="214" t="str">
        <f t="shared" si="4"/>
        <v>FY36</v>
      </c>
      <c r="AE14" s="214" t="str">
        <f t="shared" si="4"/>
        <v>FY37</v>
      </c>
      <c r="AF14" s="214" t="str">
        <f t="shared" si="4"/>
        <v>FY37</v>
      </c>
      <c r="AG14" s="214" t="str">
        <f t="shared" si="4"/>
        <v>FY38</v>
      </c>
      <c r="AH14" s="214" t="str">
        <f t="shared" si="4"/>
        <v>FY38</v>
      </c>
      <c r="AI14" s="214" t="str">
        <f t="shared" si="4"/>
        <v>FY39</v>
      </c>
      <c r="AJ14" s="214" t="str">
        <f t="shared" si="4"/>
        <v>FY39</v>
      </c>
      <c r="AK14" s="214" t="str">
        <f t="shared" si="4"/>
        <v>FY40</v>
      </c>
      <c r="AL14" s="214" t="str">
        <f t="shared" si="4"/>
        <v>FY40</v>
      </c>
    </row>
    <row r="15" spans="1:38" s="216" customFormat="1" outlineLevel="1" x14ac:dyDescent="0.2">
      <c r="B15" s="211" t="s">
        <v>15</v>
      </c>
      <c r="C15" s="217"/>
      <c r="E15" s="214">
        <f t="shared" ref="E15:AL15" si="5">YEAR(E8)</f>
        <v>2023</v>
      </c>
      <c r="F15" s="214">
        <f t="shared" si="5"/>
        <v>2024</v>
      </c>
      <c r="G15" s="214">
        <f t="shared" si="5"/>
        <v>2024</v>
      </c>
      <c r="H15" s="214">
        <f t="shared" si="5"/>
        <v>2025</v>
      </c>
      <c r="I15" s="214">
        <f t="shared" si="5"/>
        <v>2025</v>
      </c>
      <c r="J15" s="214">
        <f t="shared" si="5"/>
        <v>2026</v>
      </c>
      <c r="K15" s="214">
        <f t="shared" si="5"/>
        <v>2026</v>
      </c>
      <c r="L15" s="214">
        <f t="shared" si="5"/>
        <v>2027</v>
      </c>
      <c r="M15" s="214">
        <f t="shared" si="5"/>
        <v>2027</v>
      </c>
      <c r="N15" s="214">
        <f t="shared" si="5"/>
        <v>2028</v>
      </c>
      <c r="O15" s="214">
        <f t="shared" si="5"/>
        <v>2028</v>
      </c>
      <c r="P15" s="214">
        <f t="shared" si="5"/>
        <v>2029</v>
      </c>
      <c r="Q15" s="214">
        <f t="shared" si="5"/>
        <v>2029</v>
      </c>
      <c r="R15" s="214">
        <f t="shared" si="5"/>
        <v>2030</v>
      </c>
      <c r="S15" s="214">
        <f t="shared" si="5"/>
        <v>2030</v>
      </c>
      <c r="T15" s="214">
        <f t="shared" si="5"/>
        <v>2031</v>
      </c>
      <c r="U15" s="214">
        <f t="shared" si="5"/>
        <v>2031</v>
      </c>
      <c r="V15" s="214">
        <f t="shared" si="5"/>
        <v>2032</v>
      </c>
      <c r="W15" s="214">
        <f t="shared" si="5"/>
        <v>2032</v>
      </c>
      <c r="X15" s="214">
        <f t="shared" si="5"/>
        <v>2033</v>
      </c>
      <c r="Y15" s="214">
        <f t="shared" si="5"/>
        <v>2033</v>
      </c>
      <c r="Z15" s="214">
        <f t="shared" si="5"/>
        <v>2034</v>
      </c>
      <c r="AA15" s="214">
        <f t="shared" si="5"/>
        <v>2034</v>
      </c>
      <c r="AB15" s="214">
        <f t="shared" si="5"/>
        <v>2035</v>
      </c>
      <c r="AC15" s="214">
        <f t="shared" si="5"/>
        <v>2035</v>
      </c>
      <c r="AD15" s="214">
        <f t="shared" si="5"/>
        <v>2036</v>
      </c>
      <c r="AE15" s="214">
        <f t="shared" si="5"/>
        <v>2036</v>
      </c>
      <c r="AF15" s="214">
        <f t="shared" si="5"/>
        <v>2037</v>
      </c>
      <c r="AG15" s="214">
        <f t="shared" si="5"/>
        <v>2037</v>
      </c>
      <c r="AH15" s="214">
        <f t="shared" si="5"/>
        <v>2038</v>
      </c>
      <c r="AI15" s="214">
        <f t="shared" si="5"/>
        <v>2038</v>
      </c>
      <c r="AJ15" s="214">
        <f t="shared" si="5"/>
        <v>2039</v>
      </c>
      <c r="AK15" s="214">
        <f t="shared" si="5"/>
        <v>2039</v>
      </c>
      <c r="AL15" s="214">
        <f t="shared" si="5"/>
        <v>2040</v>
      </c>
    </row>
    <row r="16" spans="1:38" outlineLevel="1" x14ac:dyDescent="0.2">
      <c r="B16" s="219" t="s">
        <v>16</v>
      </c>
      <c r="E16" s="217" t="str">
        <f t="shared" ref="E16:AL16" si="6">E21</f>
        <v>A</v>
      </c>
      <c r="F16" s="217" t="str">
        <f t="shared" si="6"/>
        <v>A</v>
      </c>
      <c r="G16" s="217" t="str">
        <f t="shared" si="6"/>
        <v>A</v>
      </c>
      <c r="H16" s="217" t="str">
        <f t="shared" si="6"/>
        <v>A</v>
      </c>
      <c r="I16" s="217" t="str">
        <f t="shared" si="6"/>
        <v>A</v>
      </c>
      <c r="J16" s="217" t="str">
        <f t="shared" si="6"/>
        <v>A</v>
      </c>
      <c r="K16" s="217" t="str">
        <f t="shared" si="6"/>
        <v>E</v>
      </c>
      <c r="L16" s="217" t="str">
        <f t="shared" si="6"/>
        <v>E</v>
      </c>
      <c r="M16" s="217" t="str">
        <f t="shared" si="6"/>
        <v>E</v>
      </c>
      <c r="N16" s="217" t="str">
        <f t="shared" si="6"/>
        <v>E</v>
      </c>
      <c r="O16" s="217" t="str">
        <f t="shared" si="6"/>
        <v>E</v>
      </c>
      <c r="P16" s="217" t="str">
        <f t="shared" si="6"/>
        <v>E</v>
      </c>
      <c r="Q16" s="217" t="str">
        <f t="shared" si="6"/>
        <v>E</v>
      </c>
      <c r="R16" s="217" t="str">
        <f t="shared" si="6"/>
        <v>E</v>
      </c>
      <c r="S16" s="217" t="str">
        <f t="shared" si="6"/>
        <v>E</v>
      </c>
      <c r="T16" s="217" t="str">
        <f t="shared" si="6"/>
        <v>E</v>
      </c>
      <c r="U16" s="217" t="str">
        <f t="shared" si="6"/>
        <v>E</v>
      </c>
      <c r="V16" s="217" t="str">
        <f t="shared" si="6"/>
        <v>E</v>
      </c>
      <c r="W16" s="217" t="str">
        <f t="shared" si="6"/>
        <v>E</v>
      </c>
      <c r="X16" s="217" t="str">
        <f t="shared" si="6"/>
        <v>E</v>
      </c>
      <c r="Y16" s="217" t="str">
        <f t="shared" si="6"/>
        <v>E</v>
      </c>
      <c r="Z16" s="217" t="str">
        <f t="shared" si="6"/>
        <v>E</v>
      </c>
      <c r="AA16" s="217" t="str">
        <f t="shared" si="6"/>
        <v>E</v>
      </c>
      <c r="AB16" s="217" t="str">
        <f t="shared" si="6"/>
        <v>E</v>
      </c>
      <c r="AC16" s="217" t="str">
        <f t="shared" si="6"/>
        <v>E</v>
      </c>
      <c r="AD16" s="217" t="str">
        <f t="shared" si="6"/>
        <v>E</v>
      </c>
      <c r="AE16" s="217" t="str">
        <f t="shared" si="6"/>
        <v>E</v>
      </c>
      <c r="AF16" s="217" t="str">
        <f t="shared" si="6"/>
        <v>E</v>
      </c>
      <c r="AG16" s="217" t="str">
        <f t="shared" si="6"/>
        <v>E</v>
      </c>
      <c r="AH16" s="217" t="str">
        <f t="shared" si="6"/>
        <v>E</v>
      </c>
      <c r="AI16" s="217" t="str">
        <f t="shared" si="6"/>
        <v>E</v>
      </c>
      <c r="AJ16" s="217" t="str">
        <f t="shared" si="6"/>
        <v>E</v>
      </c>
      <c r="AK16" s="217" t="str">
        <f t="shared" si="6"/>
        <v>E</v>
      </c>
      <c r="AL16" s="217" t="str">
        <f t="shared" si="6"/>
        <v>E</v>
      </c>
    </row>
    <row r="17" spans="1:38" s="221" customFormat="1" outlineLevel="1" x14ac:dyDescent="0.2">
      <c r="A17" s="218"/>
      <c r="B17" s="219" t="s">
        <v>17</v>
      </c>
      <c r="C17" s="205"/>
      <c r="D17" s="218"/>
      <c r="E17" s="220">
        <v>184</v>
      </c>
      <c r="F17" s="205">
        <f t="shared" ref="F17:AL17" si="7">F8-E8</f>
        <v>182</v>
      </c>
      <c r="G17" s="205">
        <f t="shared" si="7"/>
        <v>184</v>
      </c>
      <c r="H17" s="205">
        <f t="shared" si="7"/>
        <v>181</v>
      </c>
      <c r="I17" s="205">
        <f t="shared" si="7"/>
        <v>184</v>
      </c>
      <c r="J17" s="205">
        <f t="shared" si="7"/>
        <v>181</v>
      </c>
      <c r="K17" s="205">
        <f t="shared" si="7"/>
        <v>184</v>
      </c>
      <c r="L17" s="205">
        <f t="shared" si="7"/>
        <v>181</v>
      </c>
      <c r="M17" s="205">
        <f t="shared" si="7"/>
        <v>184</v>
      </c>
      <c r="N17" s="205">
        <f t="shared" si="7"/>
        <v>182</v>
      </c>
      <c r="O17" s="205">
        <f t="shared" si="7"/>
        <v>184</v>
      </c>
      <c r="P17" s="205">
        <f t="shared" si="7"/>
        <v>181</v>
      </c>
      <c r="Q17" s="205">
        <f t="shared" si="7"/>
        <v>184</v>
      </c>
      <c r="R17" s="205">
        <f t="shared" si="7"/>
        <v>181</v>
      </c>
      <c r="S17" s="205">
        <f t="shared" si="7"/>
        <v>184</v>
      </c>
      <c r="T17" s="205">
        <f t="shared" si="7"/>
        <v>181</v>
      </c>
      <c r="U17" s="205">
        <f t="shared" si="7"/>
        <v>184</v>
      </c>
      <c r="V17" s="205">
        <f t="shared" si="7"/>
        <v>182</v>
      </c>
      <c r="W17" s="205">
        <f t="shared" si="7"/>
        <v>184</v>
      </c>
      <c r="X17" s="205">
        <f t="shared" si="7"/>
        <v>181</v>
      </c>
      <c r="Y17" s="205">
        <f t="shared" si="7"/>
        <v>184</v>
      </c>
      <c r="Z17" s="205">
        <f t="shared" si="7"/>
        <v>181</v>
      </c>
      <c r="AA17" s="205">
        <f t="shared" si="7"/>
        <v>184</v>
      </c>
      <c r="AB17" s="205">
        <f t="shared" si="7"/>
        <v>181</v>
      </c>
      <c r="AC17" s="205">
        <f t="shared" si="7"/>
        <v>184</v>
      </c>
      <c r="AD17" s="205">
        <f t="shared" si="7"/>
        <v>182</v>
      </c>
      <c r="AE17" s="205">
        <f t="shared" si="7"/>
        <v>184</v>
      </c>
      <c r="AF17" s="205">
        <f t="shared" si="7"/>
        <v>181</v>
      </c>
      <c r="AG17" s="205">
        <f t="shared" si="7"/>
        <v>184</v>
      </c>
      <c r="AH17" s="205">
        <f t="shared" si="7"/>
        <v>181</v>
      </c>
      <c r="AI17" s="205">
        <f t="shared" si="7"/>
        <v>184</v>
      </c>
      <c r="AJ17" s="205">
        <f t="shared" si="7"/>
        <v>181</v>
      </c>
      <c r="AK17" s="205">
        <f t="shared" si="7"/>
        <v>184</v>
      </c>
      <c r="AL17" s="205">
        <f t="shared" si="7"/>
        <v>182</v>
      </c>
    </row>
    <row r="19" spans="1:38" x14ac:dyDescent="0.2">
      <c r="A19" s="222" t="s">
        <v>7</v>
      </c>
      <c r="B19" s="223" t="s">
        <v>18</v>
      </c>
      <c r="C19" s="224"/>
      <c r="D19" s="225"/>
      <c r="E19" s="225"/>
      <c r="F19" s="225"/>
      <c r="G19" s="225"/>
      <c r="H19" s="225"/>
      <c r="I19" s="225"/>
      <c r="J19" s="225"/>
      <c r="K19" s="225"/>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row>
    <row r="20" spans="1:38" outlineLevel="1" x14ac:dyDescent="0.2">
      <c r="C20" s="227"/>
      <c r="E20" s="229"/>
      <c r="F20" s="229"/>
      <c r="G20" s="228"/>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c r="AK20" s="228"/>
      <c r="AL20" s="228"/>
    </row>
    <row r="21" spans="1:38" outlineLevel="1" x14ac:dyDescent="0.2">
      <c r="A21" s="226"/>
      <c r="B21" s="219" t="s">
        <v>16</v>
      </c>
      <c r="C21" s="205" t="s">
        <v>19</v>
      </c>
      <c r="E21" s="233" t="s">
        <v>20</v>
      </c>
      <c r="F21" s="233" t="s">
        <v>20</v>
      </c>
      <c r="G21" s="233" t="s">
        <v>20</v>
      </c>
      <c r="H21" s="233" t="s">
        <v>20</v>
      </c>
      <c r="I21" s="233" t="s">
        <v>20</v>
      </c>
      <c r="J21" s="233" t="s">
        <v>20</v>
      </c>
      <c r="K21" s="220" t="s">
        <v>21</v>
      </c>
      <c r="L21" s="220" t="s">
        <v>21</v>
      </c>
      <c r="M21" s="220" t="s">
        <v>21</v>
      </c>
      <c r="N21" s="220" t="s">
        <v>21</v>
      </c>
      <c r="O21" s="220" t="s">
        <v>21</v>
      </c>
      <c r="P21" s="220" t="s">
        <v>21</v>
      </c>
      <c r="Q21" s="220" t="s">
        <v>21</v>
      </c>
      <c r="R21" s="220" t="s">
        <v>21</v>
      </c>
      <c r="S21" s="220" t="s">
        <v>21</v>
      </c>
      <c r="T21" s="220" t="s">
        <v>21</v>
      </c>
      <c r="U21" s="220" t="s">
        <v>21</v>
      </c>
      <c r="V21" s="220" t="s">
        <v>21</v>
      </c>
      <c r="W21" s="220" t="s">
        <v>21</v>
      </c>
      <c r="X21" s="220" t="s">
        <v>21</v>
      </c>
      <c r="Y21" s="220" t="s">
        <v>21</v>
      </c>
      <c r="Z21" s="220" t="s">
        <v>21</v>
      </c>
      <c r="AA21" s="220" t="s">
        <v>21</v>
      </c>
      <c r="AB21" s="220" t="s">
        <v>21</v>
      </c>
      <c r="AC21" s="220" t="s">
        <v>21</v>
      </c>
      <c r="AD21" s="220" t="s">
        <v>21</v>
      </c>
      <c r="AE21" s="220" t="s">
        <v>21</v>
      </c>
      <c r="AF21" s="220" t="s">
        <v>21</v>
      </c>
      <c r="AG21" s="220" t="s">
        <v>21</v>
      </c>
      <c r="AH21" s="220" t="s">
        <v>21</v>
      </c>
      <c r="AI21" s="220" t="s">
        <v>21</v>
      </c>
      <c r="AJ21" s="220" t="s">
        <v>21</v>
      </c>
      <c r="AK21" s="220" t="s">
        <v>21</v>
      </c>
      <c r="AL21" s="220" t="s">
        <v>21</v>
      </c>
    </row>
    <row r="22" spans="1:38" outlineLevel="1" x14ac:dyDescent="0.2">
      <c r="A22" s="226"/>
      <c r="B22" s="219"/>
      <c r="E22" s="233"/>
      <c r="F22" s="233"/>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row>
    <row r="23" spans="1:38" outlineLevel="1" x14ac:dyDescent="0.2">
      <c r="A23" s="226"/>
      <c r="B23" s="246" t="s">
        <v>22</v>
      </c>
      <c r="E23" s="233"/>
      <c r="F23" s="233"/>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row>
    <row r="24" spans="1:38" outlineLevel="1" x14ac:dyDescent="0.2">
      <c r="A24" s="226" t="s">
        <v>23</v>
      </c>
      <c r="B24" s="219" t="s">
        <v>24</v>
      </c>
      <c r="E24" s="233"/>
      <c r="F24" s="233"/>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row>
    <row r="25" spans="1:38" outlineLevel="1" x14ac:dyDescent="0.2">
      <c r="A25" s="226" t="s">
        <v>25</v>
      </c>
      <c r="B25" s="219" t="s">
        <v>26</v>
      </c>
      <c r="E25" s="233"/>
      <c r="F25" s="233"/>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row>
    <row r="26" spans="1:38" outlineLevel="1" x14ac:dyDescent="0.2">
      <c r="A26" s="226" t="s">
        <v>25</v>
      </c>
      <c r="B26" s="219" t="s">
        <v>27</v>
      </c>
      <c r="E26" s="233"/>
      <c r="F26" s="233"/>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row>
    <row r="27" spans="1:38" outlineLevel="1" x14ac:dyDescent="0.2">
      <c r="A27" s="226" t="s">
        <v>25</v>
      </c>
      <c r="B27" s="219" t="s">
        <v>28</v>
      </c>
      <c r="E27" s="233"/>
      <c r="F27" s="233"/>
      <c r="G27" s="220"/>
      <c r="H27" s="220"/>
      <c r="I27" s="220"/>
      <c r="J27" s="220"/>
      <c r="K27" s="220"/>
      <c r="L27" s="220"/>
      <c r="M27" s="220"/>
      <c r="N27" s="220"/>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row>
    <row r="28" spans="1:38" outlineLevel="1" x14ac:dyDescent="0.2">
      <c r="A28" s="226" t="s">
        <v>25</v>
      </c>
      <c r="B28" s="219" t="s">
        <v>29</v>
      </c>
      <c r="E28" s="233"/>
      <c r="F28" s="233"/>
      <c r="G28" s="220"/>
      <c r="H28" s="220"/>
      <c r="I28" s="220"/>
      <c r="J28" s="220"/>
      <c r="K28" s="220"/>
      <c r="L28" s="220"/>
      <c r="M28" s="220"/>
      <c r="N28" s="220"/>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row>
    <row r="29" spans="1:38" outlineLevel="1" x14ac:dyDescent="0.2">
      <c r="A29" s="226" t="s">
        <v>30</v>
      </c>
      <c r="B29" s="219" t="s">
        <v>31</v>
      </c>
      <c r="E29" s="233"/>
      <c r="F29" s="233"/>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row>
    <row r="30" spans="1:38" outlineLevel="1" x14ac:dyDescent="0.2">
      <c r="A30" s="226" t="s">
        <v>30</v>
      </c>
      <c r="B30" s="219" t="s">
        <v>32</v>
      </c>
      <c r="E30" s="233"/>
      <c r="F30" s="233"/>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row>
    <row r="31" spans="1:38" outlineLevel="1" x14ac:dyDescent="0.2">
      <c r="A31" s="226"/>
      <c r="B31" s="219"/>
      <c r="E31" s="233"/>
      <c r="F31" s="233"/>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row>
    <row r="32" spans="1:38" outlineLevel="1" x14ac:dyDescent="0.2">
      <c r="A32" s="226"/>
      <c r="B32" s="219"/>
      <c r="E32" s="233"/>
      <c r="F32" s="233"/>
      <c r="G32" s="220"/>
      <c r="H32" s="220"/>
      <c r="I32" s="220"/>
      <c r="J32" s="220"/>
      <c r="K32" s="220"/>
      <c r="L32" s="220"/>
      <c r="M32" s="220"/>
      <c r="N32" s="220"/>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row>
    <row r="33" spans="1:38" outlineLevel="1" x14ac:dyDescent="0.2">
      <c r="A33" s="226"/>
      <c r="B33" s="219"/>
      <c r="E33" s="233"/>
      <c r="F33" s="233"/>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row>
    <row r="34" spans="1:38" x14ac:dyDescent="0.2">
      <c r="A34" s="222" t="s">
        <v>7</v>
      </c>
      <c r="B34" s="223" t="s">
        <v>33</v>
      </c>
      <c r="C34" s="224"/>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row>
    <row r="35" spans="1:38" x14ac:dyDescent="0.2">
      <c r="A35" s="226"/>
      <c r="B35" s="226"/>
      <c r="C35" s="230"/>
      <c r="E35" s="232"/>
      <c r="F35" s="232"/>
      <c r="G35" s="232"/>
      <c r="H35" s="232"/>
      <c r="I35" s="232"/>
      <c r="J35" s="232"/>
      <c r="K35" s="232"/>
      <c r="L35" s="232"/>
      <c r="M35" s="232"/>
      <c r="N35" s="232"/>
      <c r="O35" s="232"/>
      <c r="P35" s="232"/>
      <c r="Q35" s="232"/>
      <c r="R35" s="232"/>
      <c r="S35" s="232"/>
      <c r="T35" s="232"/>
      <c r="U35" s="232"/>
      <c r="V35" s="232"/>
      <c r="W35" s="232"/>
      <c r="X35" s="232"/>
      <c r="Y35" s="232"/>
      <c r="Z35" s="232"/>
      <c r="AA35" s="232"/>
      <c r="AB35" s="232"/>
      <c r="AC35" s="232"/>
      <c r="AD35" s="232"/>
      <c r="AE35" s="232"/>
      <c r="AF35" s="232"/>
      <c r="AG35" s="232"/>
      <c r="AH35" s="232"/>
      <c r="AI35" s="232"/>
      <c r="AJ35" s="232"/>
      <c r="AK35" s="232"/>
      <c r="AL35" s="232"/>
    </row>
    <row r="36" spans="1:38" x14ac:dyDescent="0.2">
      <c r="B36" s="246" t="s">
        <v>34</v>
      </c>
      <c r="C36" s="230"/>
      <c r="E36" s="232"/>
      <c r="F36" s="232"/>
      <c r="G36" s="232"/>
      <c r="H36" s="232"/>
      <c r="I36" s="232"/>
      <c r="J36" s="232"/>
      <c r="K36" s="232"/>
      <c r="L36" s="232"/>
      <c r="M36" s="232"/>
      <c r="N36" s="232"/>
      <c r="O36" s="232"/>
      <c r="P36" s="232"/>
      <c r="Q36" s="232"/>
      <c r="R36" s="232"/>
      <c r="S36" s="232"/>
      <c r="T36" s="232"/>
      <c r="U36" s="232"/>
      <c r="V36" s="232"/>
      <c r="W36" s="232"/>
      <c r="X36" s="232"/>
      <c r="Y36" s="232"/>
      <c r="Z36" s="232"/>
      <c r="AA36" s="232"/>
      <c r="AB36" s="232"/>
      <c r="AC36" s="232"/>
      <c r="AD36" s="232"/>
      <c r="AE36" s="232"/>
      <c r="AF36" s="232"/>
      <c r="AG36" s="232"/>
      <c r="AH36" s="232"/>
      <c r="AI36" s="232"/>
      <c r="AJ36" s="232"/>
      <c r="AK36" s="232"/>
      <c r="AL36" s="232"/>
    </row>
    <row r="37" spans="1:38" x14ac:dyDescent="0.2">
      <c r="B37" s="239" t="s">
        <v>35</v>
      </c>
      <c r="C37" s="230"/>
      <c r="E37" s="232"/>
      <c r="F37" s="232"/>
      <c r="G37" s="232"/>
      <c r="H37" s="232"/>
      <c r="I37" s="232"/>
      <c r="J37" s="232"/>
      <c r="K37" s="232"/>
      <c r="L37" s="232"/>
      <c r="M37" s="232"/>
      <c r="N37" s="232"/>
      <c r="O37" s="232"/>
      <c r="P37" s="232"/>
      <c r="Q37" s="232"/>
      <c r="R37" s="232"/>
      <c r="S37" s="232"/>
      <c r="T37" s="232"/>
      <c r="U37" s="232"/>
      <c r="V37" s="232"/>
      <c r="W37" s="232"/>
      <c r="X37" s="232"/>
      <c r="Y37" s="232"/>
      <c r="Z37" s="232"/>
      <c r="AA37" s="232"/>
      <c r="AB37" s="232"/>
      <c r="AC37" s="232"/>
      <c r="AD37" s="232"/>
      <c r="AE37" s="232"/>
      <c r="AF37" s="232"/>
      <c r="AG37" s="232"/>
      <c r="AH37" s="232"/>
      <c r="AI37" s="232"/>
      <c r="AJ37" s="232"/>
      <c r="AK37" s="232"/>
      <c r="AL37" s="232"/>
    </row>
    <row r="38" spans="1:38" x14ac:dyDescent="0.2">
      <c r="B38" s="263" t="s">
        <v>36</v>
      </c>
      <c r="C38" s="235" t="s">
        <v>37</v>
      </c>
      <c r="E38" s="232"/>
      <c r="F38" s="232"/>
      <c r="G38" s="232">
        <f>G64</f>
        <v>645.1</v>
      </c>
      <c r="H38" s="232"/>
      <c r="I38" s="232">
        <f>G38*(1+I39)</f>
        <v>728.96299999999997</v>
      </c>
      <c r="J38" s="232"/>
      <c r="K38" s="232"/>
      <c r="L38" s="232"/>
      <c r="M38" s="232"/>
      <c r="N38" s="232"/>
      <c r="O38" s="232"/>
      <c r="P38" s="232"/>
      <c r="Q38" s="232"/>
      <c r="R38" s="232"/>
      <c r="S38" s="232"/>
      <c r="T38" s="232"/>
      <c r="U38" s="232"/>
      <c r="V38" s="232"/>
      <c r="W38" s="232"/>
      <c r="X38" s="232"/>
      <c r="Y38" s="232"/>
      <c r="Z38" s="232"/>
      <c r="AA38" s="232"/>
      <c r="AB38" s="232"/>
      <c r="AC38" s="232"/>
      <c r="AD38" s="232"/>
      <c r="AE38" s="232"/>
      <c r="AF38" s="232"/>
      <c r="AG38" s="232"/>
      <c r="AH38" s="232"/>
      <c r="AI38" s="232"/>
      <c r="AJ38" s="232"/>
      <c r="AK38" s="232"/>
      <c r="AL38" s="232"/>
    </row>
    <row r="39" spans="1:38" x14ac:dyDescent="0.2">
      <c r="B39" s="543" t="s">
        <v>38</v>
      </c>
      <c r="C39" s="205" t="s">
        <v>39</v>
      </c>
      <c r="E39" s="372"/>
      <c r="F39" s="372"/>
      <c r="G39" s="372"/>
      <c r="H39" s="372"/>
      <c r="I39" s="372">
        <v>0.13</v>
      </c>
      <c r="J39" s="232"/>
      <c r="K39" s="232"/>
      <c r="L39" s="232"/>
      <c r="M39" s="232"/>
      <c r="N39" s="232"/>
      <c r="O39" s="232"/>
      <c r="P39" s="232"/>
      <c r="Q39" s="232"/>
      <c r="R39" s="232"/>
      <c r="S39" s="232"/>
      <c r="T39" s="232"/>
      <c r="U39" s="232"/>
      <c r="V39" s="232"/>
      <c r="W39" s="232"/>
      <c r="X39" s="232"/>
      <c r="Y39" s="232"/>
      <c r="Z39" s="232"/>
      <c r="AA39" s="232"/>
      <c r="AB39" s="232"/>
      <c r="AC39" s="232"/>
      <c r="AD39" s="232"/>
      <c r="AE39" s="232"/>
      <c r="AF39" s="232"/>
      <c r="AG39" s="232"/>
      <c r="AH39" s="232"/>
      <c r="AI39" s="232"/>
      <c r="AJ39" s="232"/>
      <c r="AK39" s="232"/>
      <c r="AL39" s="232"/>
    </row>
    <row r="40" spans="1:38" x14ac:dyDescent="0.2">
      <c r="B40" s="413"/>
      <c r="C40" s="230"/>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2"/>
      <c r="AH40" s="232"/>
      <c r="AI40" s="232"/>
      <c r="AJ40" s="232"/>
      <c r="AK40" s="232"/>
      <c r="AL40" s="232"/>
    </row>
    <row r="41" spans="1:38" x14ac:dyDescent="0.2">
      <c r="B41" s="263" t="s">
        <v>40</v>
      </c>
      <c r="C41" s="235" t="s">
        <v>37</v>
      </c>
      <c r="E41" s="232"/>
      <c r="F41" s="232"/>
      <c r="G41" s="231">
        <v>198.9</v>
      </c>
      <c r="H41" s="232"/>
      <c r="I41" s="232">
        <f>I64-I38</f>
        <v>78.336999999999989</v>
      </c>
      <c r="J41" s="232"/>
      <c r="K41" s="232"/>
      <c r="L41" s="232"/>
      <c r="M41" s="232"/>
      <c r="N41" s="232"/>
      <c r="O41" s="232"/>
      <c r="P41" s="232"/>
      <c r="Q41" s="232"/>
      <c r="R41" s="232"/>
      <c r="S41" s="232"/>
      <c r="T41" s="232"/>
      <c r="U41" s="232"/>
      <c r="V41" s="232"/>
      <c r="W41" s="232"/>
      <c r="X41" s="232"/>
      <c r="Y41" s="232"/>
      <c r="Z41" s="232"/>
      <c r="AA41" s="232"/>
      <c r="AB41" s="232"/>
      <c r="AC41" s="232"/>
      <c r="AD41" s="232"/>
      <c r="AE41" s="232"/>
      <c r="AF41" s="232"/>
      <c r="AG41" s="232"/>
      <c r="AH41" s="232"/>
      <c r="AI41" s="232"/>
      <c r="AJ41" s="232"/>
      <c r="AK41" s="232"/>
      <c r="AL41" s="232"/>
    </row>
    <row r="42" spans="1:38" x14ac:dyDescent="0.2">
      <c r="B42" s="543" t="s">
        <v>38</v>
      </c>
      <c r="C42" s="205" t="s">
        <v>39</v>
      </c>
      <c r="E42" s="240"/>
      <c r="F42" s="240"/>
      <c r="G42" s="240"/>
      <c r="H42" s="240"/>
      <c r="I42" s="240">
        <f>I41/G41-1</f>
        <v>-0.60614881850175972</v>
      </c>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row>
    <row r="43" spans="1:38" x14ac:dyDescent="0.2">
      <c r="B43" s="543"/>
      <c r="E43" s="240"/>
      <c r="F43" s="240"/>
      <c r="G43" s="240"/>
      <c r="H43" s="240"/>
      <c r="I43" s="240"/>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row>
    <row r="44" spans="1:38" x14ac:dyDescent="0.2">
      <c r="B44" s="234" t="s">
        <v>41</v>
      </c>
      <c r="C44" s="235" t="s">
        <v>37</v>
      </c>
      <c r="E44" s="232"/>
      <c r="F44" s="232"/>
      <c r="G44" s="232">
        <f>G38+G41</f>
        <v>844</v>
      </c>
      <c r="H44" s="232"/>
      <c r="I44" s="232">
        <f>I38+I41</f>
        <v>807.3</v>
      </c>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2"/>
      <c r="AK44" s="232"/>
      <c r="AL44" s="232"/>
    </row>
    <row r="45" spans="1:38" x14ac:dyDescent="0.2">
      <c r="B45" s="413" t="s">
        <v>38</v>
      </c>
      <c r="C45" s="205" t="s">
        <v>39</v>
      </c>
      <c r="E45" s="240"/>
      <c r="F45" s="240"/>
      <c r="G45" s="240"/>
      <c r="H45" s="240"/>
      <c r="I45" s="240">
        <f>I44/G44-1</f>
        <v>-4.3483412322274928E-2</v>
      </c>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row>
    <row r="46" spans="1:38" x14ac:dyDescent="0.2">
      <c r="B46" s="226"/>
      <c r="C46" s="230"/>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c r="AG46" s="232"/>
      <c r="AH46" s="232"/>
      <c r="AI46" s="232"/>
      <c r="AJ46" s="232"/>
      <c r="AK46" s="232"/>
      <c r="AL46" s="232"/>
    </row>
    <row r="47" spans="1:38" x14ac:dyDescent="0.2">
      <c r="B47" s="239" t="s">
        <v>42</v>
      </c>
      <c r="C47" s="230"/>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row>
    <row r="48" spans="1:38" x14ac:dyDescent="0.2">
      <c r="B48" s="263" t="s">
        <v>36</v>
      </c>
      <c r="C48" s="235" t="s">
        <v>37</v>
      </c>
      <c r="E48" s="232"/>
      <c r="F48" s="232"/>
      <c r="G48" s="232">
        <f>G68</f>
        <v>91.3</v>
      </c>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c r="AF48" s="232"/>
      <c r="AG48" s="232"/>
      <c r="AH48" s="232"/>
      <c r="AI48" s="232"/>
      <c r="AJ48" s="232"/>
      <c r="AK48" s="232"/>
      <c r="AL48" s="232"/>
    </row>
    <row r="49" spans="2:38" x14ac:dyDescent="0.2">
      <c r="B49" s="263" t="s">
        <v>40</v>
      </c>
      <c r="C49" s="235" t="s">
        <v>37</v>
      </c>
      <c r="E49" s="232"/>
      <c r="F49" s="232"/>
      <c r="G49" s="231">
        <v>14.4</v>
      </c>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32"/>
      <c r="AH49" s="232"/>
      <c r="AI49" s="232"/>
      <c r="AJ49" s="232"/>
      <c r="AK49" s="232"/>
      <c r="AL49" s="232"/>
    </row>
    <row r="50" spans="2:38" x14ac:dyDescent="0.2">
      <c r="B50" s="234" t="s">
        <v>41</v>
      </c>
      <c r="C50" s="235" t="s">
        <v>37</v>
      </c>
      <c r="E50" s="240"/>
      <c r="F50" s="240"/>
      <c r="G50" s="232">
        <f>SUM(G48:G49)</f>
        <v>105.7</v>
      </c>
      <c r="H50" s="240"/>
      <c r="I50" s="232">
        <f>I68</f>
        <v>108.3</v>
      </c>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row>
    <row r="51" spans="2:38" x14ac:dyDescent="0.2">
      <c r="B51" s="413" t="s">
        <v>38</v>
      </c>
      <c r="C51" s="205" t="s">
        <v>39</v>
      </c>
      <c r="E51" s="232"/>
      <c r="F51" s="232"/>
      <c r="G51" s="232"/>
      <c r="H51" s="232"/>
      <c r="I51" s="240">
        <f>I50/G50-1</f>
        <v>2.4597918637653704E-2</v>
      </c>
      <c r="J51" s="232"/>
      <c r="K51" s="232"/>
      <c r="L51" s="232"/>
      <c r="M51" s="232"/>
      <c r="N51" s="232"/>
      <c r="O51" s="232"/>
      <c r="P51" s="232"/>
      <c r="Q51" s="232"/>
      <c r="R51" s="232"/>
      <c r="S51" s="232"/>
      <c r="T51" s="232"/>
      <c r="U51" s="232"/>
      <c r="V51" s="232"/>
      <c r="W51" s="232"/>
      <c r="X51" s="232"/>
      <c r="Y51" s="232"/>
      <c r="Z51" s="232"/>
      <c r="AA51" s="232"/>
      <c r="AB51" s="232"/>
      <c r="AC51" s="232"/>
      <c r="AD51" s="232"/>
      <c r="AE51" s="232"/>
      <c r="AF51" s="232"/>
      <c r="AG51" s="232"/>
      <c r="AH51" s="232"/>
      <c r="AI51" s="232"/>
      <c r="AJ51" s="232"/>
      <c r="AK51" s="232"/>
      <c r="AL51" s="232"/>
    </row>
    <row r="52" spans="2:38" x14ac:dyDescent="0.2">
      <c r="B52" s="226"/>
      <c r="C52" s="230"/>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row>
    <row r="53" spans="2:38" x14ac:dyDescent="0.2">
      <c r="B53" s="239" t="s">
        <v>43</v>
      </c>
      <c r="C53" s="230"/>
      <c r="E53" s="232"/>
      <c r="F53" s="232"/>
      <c r="G53" s="232"/>
      <c r="H53" s="232"/>
      <c r="I53" s="232"/>
      <c r="J53" s="232"/>
      <c r="K53" s="232"/>
      <c r="L53" s="232"/>
      <c r="M53" s="232"/>
      <c r="N53" s="232"/>
      <c r="O53" s="232"/>
      <c r="P53" s="232"/>
      <c r="Q53" s="232"/>
      <c r="R53" s="232"/>
      <c r="S53" s="232"/>
      <c r="T53" s="232"/>
      <c r="U53" s="232"/>
      <c r="V53" s="232"/>
      <c r="W53" s="232"/>
      <c r="X53" s="232"/>
      <c r="Y53" s="232"/>
      <c r="Z53" s="232"/>
      <c r="AA53" s="232"/>
      <c r="AB53" s="232"/>
      <c r="AC53" s="232"/>
      <c r="AD53" s="232"/>
      <c r="AE53" s="232"/>
      <c r="AF53" s="232"/>
      <c r="AG53" s="232"/>
      <c r="AH53" s="232"/>
      <c r="AI53" s="232"/>
      <c r="AJ53" s="232"/>
      <c r="AK53" s="232"/>
      <c r="AL53" s="232"/>
    </row>
    <row r="54" spans="2:38" x14ac:dyDescent="0.2">
      <c r="B54" s="263" t="s">
        <v>36</v>
      </c>
      <c r="C54" s="235" t="s">
        <v>37</v>
      </c>
      <c r="E54" s="232"/>
      <c r="F54" s="232"/>
      <c r="G54" s="232">
        <f>G75</f>
        <v>67.400000000000006</v>
      </c>
      <c r="H54" s="232"/>
      <c r="I54" s="232"/>
      <c r="J54" s="232"/>
      <c r="K54" s="232"/>
      <c r="L54" s="232"/>
      <c r="M54" s="232"/>
      <c r="N54" s="232"/>
      <c r="O54" s="232"/>
      <c r="P54" s="232"/>
      <c r="Q54" s="232"/>
      <c r="R54" s="232"/>
      <c r="S54" s="232"/>
      <c r="T54" s="232"/>
      <c r="U54" s="232"/>
      <c r="V54" s="232"/>
      <c r="W54" s="232"/>
      <c r="X54" s="232"/>
      <c r="Y54" s="232"/>
      <c r="Z54" s="232"/>
      <c r="AA54" s="232"/>
      <c r="AB54" s="232"/>
      <c r="AC54" s="232"/>
      <c r="AD54" s="232"/>
      <c r="AE54" s="232"/>
      <c r="AF54" s="232"/>
      <c r="AG54" s="232"/>
      <c r="AH54" s="232"/>
      <c r="AI54" s="232"/>
      <c r="AJ54" s="232"/>
      <c r="AK54" s="232"/>
      <c r="AL54" s="232"/>
    </row>
    <row r="55" spans="2:38" x14ac:dyDescent="0.2">
      <c r="B55" s="263" t="s">
        <v>40</v>
      </c>
      <c r="C55" s="235" t="s">
        <v>37</v>
      </c>
      <c r="E55" s="232"/>
      <c r="F55" s="232"/>
      <c r="G55" s="231">
        <v>11.8</v>
      </c>
      <c r="H55" s="240"/>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row>
    <row r="56" spans="2:38" x14ac:dyDescent="0.2">
      <c r="B56" s="234" t="s">
        <v>41</v>
      </c>
      <c r="C56" s="235" t="s">
        <v>37</v>
      </c>
      <c r="E56" s="240"/>
      <c r="F56" s="240"/>
      <c r="G56" s="232">
        <f>SUM(G54:G55)</f>
        <v>79.2</v>
      </c>
      <c r="H56" s="240"/>
      <c r="I56" s="232">
        <f>I75</f>
        <v>75.8</v>
      </c>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row>
    <row r="57" spans="2:38" x14ac:dyDescent="0.2">
      <c r="B57" s="413" t="s">
        <v>38</v>
      </c>
      <c r="C57" s="205" t="s">
        <v>39</v>
      </c>
      <c r="E57" s="232"/>
      <c r="F57" s="232"/>
      <c r="G57" s="232"/>
      <c r="H57" s="232"/>
      <c r="I57" s="240">
        <f>I56/G56-1</f>
        <v>-4.2929292929293039E-2</v>
      </c>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2"/>
      <c r="AK57" s="232"/>
      <c r="AL57" s="232"/>
    </row>
    <row r="58" spans="2:38" x14ac:dyDescent="0.2">
      <c r="B58" s="226"/>
      <c r="C58" s="230"/>
      <c r="E58" s="232"/>
      <c r="F58" s="232"/>
      <c r="G58" s="232"/>
      <c r="H58" s="23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2"/>
      <c r="AK58" s="232"/>
      <c r="AL58" s="232"/>
    </row>
    <row r="59" spans="2:38" x14ac:dyDescent="0.2">
      <c r="B59" s="226"/>
      <c r="C59" s="230"/>
      <c r="E59" s="232"/>
      <c r="F59" s="232"/>
      <c r="G59" s="232"/>
      <c r="H59" s="232"/>
      <c r="I59" s="232"/>
      <c r="J59" s="232"/>
      <c r="K59" s="232"/>
      <c r="L59" s="232"/>
      <c r="M59" s="232"/>
      <c r="N59" s="232"/>
      <c r="O59" s="232"/>
      <c r="P59" s="232"/>
      <c r="Q59" s="232"/>
      <c r="R59" s="232"/>
      <c r="S59" s="232"/>
      <c r="T59" s="232"/>
      <c r="U59" s="232"/>
      <c r="V59" s="232"/>
      <c r="W59" s="232"/>
      <c r="X59" s="232"/>
      <c r="Y59" s="232"/>
      <c r="Z59" s="232"/>
      <c r="AA59" s="232"/>
      <c r="AB59" s="232"/>
      <c r="AC59" s="232"/>
      <c r="AD59" s="232"/>
      <c r="AE59" s="232"/>
      <c r="AF59" s="232"/>
      <c r="AG59" s="232"/>
      <c r="AH59" s="232"/>
      <c r="AI59" s="232"/>
      <c r="AJ59" s="232"/>
      <c r="AK59" s="232"/>
      <c r="AL59" s="232"/>
    </row>
    <row r="60" spans="2:38" x14ac:dyDescent="0.2">
      <c r="B60" s="226"/>
      <c r="C60" s="230"/>
      <c r="E60" s="232"/>
      <c r="F60" s="232"/>
      <c r="G60" s="232"/>
      <c r="H60" s="232"/>
      <c r="I60" s="232"/>
      <c r="J60" s="232"/>
      <c r="K60" s="232"/>
      <c r="L60" s="232"/>
      <c r="M60" s="232"/>
      <c r="N60" s="232"/>
      <c r="O60" s="232"/>
      <c r="P60" s="232"/>
      <c r="Q60" s="232"/>
      <c r="R60" s="232"/>
      <c r="S60" s="232"/>
      <c r="T60" s="232"/>
      <c r="U60" s="232"/>
      <c r="V60" s="232"/>
      <c r="W60" s="232"/>
      <c r="X60" s="232"/>
      <c r="Y60" s="232"/>
      <c r="Z60" s="232"/>
      <c r="AA60" s="232"/>
      <c r="AB60" s="232"/>
      <c r="AC60" s="232"/>
      <c r="AD60" s="232"/>
      <c r="AE60" s="232"/>
      <c r="AF60" s="232"/>
      <c r="AG60" s="232"/>
      <c r="AH60" s="232"/>
      <c r="AI60" s="232"/>
      <c r="AJ60" s="232"/>
      <c r="AK60" s="232"/>
      <c r="AL60" s="232"/>
    </row>
    <row r="61" spans="2:38" x14ac:dyDescent="0.2">
      <c r="B61" s="246" t="s">
        <v>44</v>
      </c>
      <c r="C61" s="230"/>
      <c r="E61" s="232"/>
      <c r="F61" s="232"/>
      <c r="G61" s="232"/>
      <c r="H61" s="232"/>
      <c r="I61" s="232"/>
      <c r="J61" s="232"/>
      <c r="K61" s="232"/>
      <c r="L61" s="232"/>
      <c r="M61" s="232"/>
      <c r="N61" s="232"/>
      <c r="O61" s="232"/>
      <c r="P61" s="232"/>
      <c r="Q61" s="232"/>
      <c r="R61" s="232"/>
      <c r="S61" s="232"/>
      <c r="T61" s="232"/>
      <c r="U61" s="232"/>
      <c r="V61" s="232"/>
      <c r="W61" s="232"/>
      <c r="X61" s="232"/>
      <c r="Y61" s="232"/>
      <c r="Z61" s="232"/>
      <c r="AA61" s="232"/>
      <c r="AB61" s="232"/>
      <c r="AC61" s="232"/>
      <c r="AD61" s="232"/>
      <c r="AE61" s="232"/>
      <c r="AF61" s="232"/>
      <c r="AG61" s="232"/>
      <c r="AH61" s="232"/>
      <c r="AI61" s="232"/>
      <c r="AJ61" s="232"/>
      <c r="AK61" s="232"/>
      <c r="AL61" s="232"/>
    </row>
    <row r="62" spans="2:38" x14ac:dyDescent="0.2">
      <c r="B62" s="226"/>
      <c r="C62" s="230"/>
      <c r="E62" s="232"/>
      <c r="F62" s="232"/>
      <c r="G62" s="232"/>
      <c r="H62" s="232"/>
      <c r="I62" s="232"/>
      <c r="J62" s="232"/>
      <c r="K62" s="232"/>
      <c r="L62" s="592" t="s">
        <v>46</v>
      </c>
      <c r="M62" s="592"/>
      <c r="N62" s="232"/>
      <c r="O62" s="232"/>
      <c r="P62" s="232"/>
      <c r="Q62" s="232"/>
      <c r="R62" s="232"/>
      <c r="S62" s="232"/>
      <c r="T62" s="232"/>
      <c r="U62" s="232"/>
      <c r="V62" s="232"/>
      <c r="W62" s="232"/>
      <c r="X62" s="232"/>
      <c r="Y62" s="232"/>
      <c r="Z62" s="232"/>
      <c r="AA62" s="232"/>
      <c r="AB62" s="232"/>
      <c r="AC62" s="232"/>
      <c r="AD62" s="232"/>
      <c r="AE62" s="232"/>
      <c r="AF62" s="232"/>
      <c r="AG62" s="232"/>
      <c r="AH62" s="232"/>
      <c r="AI62" s="232"/>
      <c r="AJ62" s="232"/>
      <c r="AK62" s="232"/>
      <c r="AL62" s="232"/>
    </row>
    <row r="63" spans="2:38" s="595" customFormat="1" x14ac:dyDescent="0.2">
      <c r="B63" s="593" t="s">
        <v>45</v>
      </c>
      <c r="C63" s="594" t="s">
        <v>37</v>
      </c>
      <c r="E63" s="259">
        <f>SUMIFS(QTR!$E29:$CB29,QTR!$E$9:$CB$9,E$13)</f>
        <v>298.70000000000005</v>
      </c>
      <c r="F63" s="259">
        <f>SUMIFS(QTR!$E29:$CB29,QTR!$E$9:$CB$9,F$13)</f>
        <v>292.79999999999995</v>
      </c>
      <c r="G63" s="259">
        <f>SUMIFS(QTR!$E29:$CB29,QTR!$E$9:$CB$9,G$13)</f>
        <v>643.6</v>
      </c>
      <c r="H63" s="259">
        <f>SUMIFS(QTR!$E29:$CB29,QTR!$E$9:$CB$9,H$13)</f>
        <v>775.5</v>
      </c>
      <c r="I63" s="259">
        <f>SUMIFS(QTR!$E29:$CB29,QTR!$E$9:$CB$9,I$13)</f>
        <v>807.4</v>
      </c>
      <c r="J63" s="259">
        <f>SUMIFS(QTR!$E29:$CB29,QTR!$E$9:$CB$9,J$13)</f>
        <v>787.3</v>
      </c>
      <c r="K63" s="259">
        <f>SUMIFS(QTR!$E29:$CB29,QTR!$E$9:$CB$9,K$13)</f>
        <v>887.10599999999999</v>
      </c>
      <c r="N63" s="259"/>
      <c r="O63" s="259"/>
      <c r="P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row>
    <row r="64" spans="2:38" x14ac:dyDescent="0.2">
      <c r="B64" s="239" t="s">
        <v>35</v>
      </c>
      <c r="C64" s="241" t="s">
        <v>37</v>
      </c>
      <c r="E64" s="257">
        <v>298.8</v>
      </c>
      <c r="F64" s="257">
        <f>591.9-E64</f>
        <v>293.09999999999997</v>
      </c>
      <c r="G64" s="257">
        <v>645.1</v>
      </c>
      <c r="H64" s="257">
        <f>1420.4-G64</f>
        <v>775.30000000000007</v>
      </c>
      <c r="I64" s="257">
        <v>807.3</v>
      </c>
      <c r="J64" s="257">
        <f>1594.7-I64</f>
        <v>787.40000000000009</v>
      </c>
      <c r="K64" s="229">
        <f t="shared" ref="K64:AL64" si="8">I64*(1+K65)</f>
        <v>888.03</v>
      </c>
      <c r="L64" s="229">
        <f t="shared" si="8"/>
        <v>834.64400000000012</v>
      </c>
      <c r="M64" s="229">
        <f t="shared" si="8"/>
        <v>932.43150000000003</v>
      </c>
      <c r="N64" s="229">
        <f t="shared" si="8"/>
        <v>876.37620000000015</v>
      </c>
      <c r="O64" s="229">
        <f t="shared" si="8"/>
        <v>979.05307500000004</v>
      </c>
      <c r="P64" s="229">
        <f t="shared" si="8"/>
        <v>920.19501000000025</v>
      </c>
      <c r="Q64" s="229">
        <f t="shared" si="8"/>
        <v>1028.0057287500001</v>
      </c>
      <c r="R64" s="229">
        <f t="shared" si="8"/>
        <v>966.20476050000036</v>
      </c>
      <c r="S64" s="229">
        <f t="shared" si="8"/>
        <v>1079.4060151875001</v>
      </c>
      <c r="T64" s="229">
        <f t="shared" si="8"/>
        <v>1014.5149985250005</v>
      </c>
      <c r="U64" s="229">
        <f t="shared" si="8"/>
        <v>1133.3763159468751</v>
      </c>
      <c r="V64" s="229">
        <f t="shared" si="8"/>
        <v>1065.2407484512505</v>
      </c>
      <c r="W64" s="229">
        <f t="shared" si="8"/>
        <v>1190.0451317442189</v>
      </c>
      <c r="X64" s="229">
        <f t="shared" si="8"/>
        <v>1118.5027858738131</v>
      </c>
      <c r="Y64" s="229">
        <f t="shared" si="8"/>
        <v>1249.5473883314298</v>
      </c>
      <c r="Z64" s="229">
        <f t="shared" si="8"/>
        <v>1174.4279251675039</v>
      </c>
      <c r="AA64" s="229">
        <f t="shared" si="8"/>
        <v>1312.0247577480013</v>
      </c>
      <c r="AB64" s="229">
        <f t="shared" si="8"/>
        <v>1233.1493214258792</v>
      </c>
      <c r="AC64" s="229">
        <f t="shared" si="8"/>
        <v>1377.6259956354015</v>
      </c>
      <c r="AD64" s="229">
        <f t="shared" si="8"/>
        <v>1294.8067874971732</v>
      </c>
      <c r="AE64" s="229">
        <f t="shared" si="8"/>
        <v>1446.5072954171717</v>
      </c>
      <c r="AF64" s="229">
        <f t="shared" si="8"/>
        <v>1359.5471268720319</v>
      </c>
      <c r="AG64" s="229">
        <f t="shared" si="8"/>
        <v>1518.8326601880303</v>
      </c>
      <c r="AH64" s="229">
        <f t="shared" si="8"/>
        <v>1427.5244832156336</v>
      </c>
      <c r="AI64" s="229">
        <f t="shared" si="8"/>
        <v>1594.7742931974319</v>
      </c>
      <c r="AJ64" s="229">
        <f t="shared" si="8"/>
        <v>1498.9007073764153</v>
      </c>
      <c r="AK64" s="229">
        <f t="shared" si="8"/>
        <v>1674.5130078573036</v>
      </c>
      <c r="AL64" s="229">
        <f t="shared" si="8"/>
        <v>1573.8457427452361</v>
      </c>
    </row>
    <row r="65" spans="2:38" x14ac:dyDescent="0.2">
      <c r="B65" s="226" t="s">
        <v>38</v>
      </c>
      <c r="C65" s="205" t="s">
        <v>39</v>
      </c>
      <c r="E65" s="240"/>
      <c r="F65" s="240"/>
      <c r="G65" s="240">
        <f>G64/E64-1</f>
        <v>1.1589692101740297</v>
      </c>
      <c r="H65" s="240">
        <f>H64/F64-1</f>
        <v>1.6451722961446609</v>
      </c>
      <c r="I65" s="240">
        <f>I64/G64-1</f>
        <v>0.25143388621919072</v>
      </c>
      <c r="J65" s="240">
        <f>J64/H64-1</f>
        <v>1.5606861859925214E-2</v>
      </c>
      <c r="K65" s="408">
        <v>0.1</v>
      </c>
      <c r="L65" s="408">
        <v>0.06</v>
      </c>
      <c r="M65" s="408">
        <v>0.05</v>
      </c>
      <c r="N65" s="408">
        <v>0.05</v>
      </c>
      <c r="O65" s="408">
        <v>0.05</v>
      </c>
      <c r="P65" s="408">
        <v>0.05</v>
      </c>
      <c r="Q65" s="408">
        <v>0.05</v>
      </c>
      <c r="R65" s="408">
        <v>0.05</v>
      </c>
      <c r="S65" s="408">
        <v>0.05</v>
      </c>
      <c r="T65" s="408">
        <v>0.05</v>
      </c>
      <c r="U65" s="408">
        <v>0.05</v>
      </c>
      <c r="V65" s="408">
        <v>0.05</v>
      </c>
      <c r="W65" s="408">
        <v>0.05</v>
      </c>
      <c r="X65" s="408">
        <v>0.05</v>
      </c>
      <c r="Y65" s="408">
        <v>0.05</v>
      </c>
      <c r="Z65" s="408">
        <v>0.05</v>
      </c>
      <c r="AA65" s="408">
        <v>0.05</v>
      </c>
      <c r="AB65" s="408">
        <v>0.05</v>
      </c>
      <c r="AC65" s="408">
        <v>0.05</v>
      </c>
      <c r="AD65" s="408">
        <v>0.05</v>
      </c>
      <c r="AE65" s="408">
        <v>0.05</v>
      </c>
      <c r="AF65" s="408">
        <v>0.05</v>
      </c>
      <c r="AG65" s="408">
        <v>0.05</v>
      </c>
      <c r="AH65" s="408">
        <v>0.05</v>
      </c>
      <c r="AI65" s="408">
        <v>0.05</v>
      </c>
      <c r="AJ65" s="408">
        <v>0.05</v>
      </c>
      <c r="AK65" s="408">
        <v>0.05</v>
      </c>
      <c r="AL65" s="408">
        <v>0.05</v>
      </c>
    </row>
    <row r="67" spans="2:38" s="595" customFormat="1" x14ac:dyDescent="0.2">
      <c r="B67" s="593" t="s">
        <v>45</v>
      </c>
      <c r="C67" s="594" t="s">
        <v>37</v>
      </c>
      <c r="E67" s="259">
        <f>SUMIFS(QTR!$E35:$CB35,QTR!$E$9:$CB$9,E$13)</f>
        <v>40</v>
      </c>
      <c r="F67" s="259">
        <f>SUMIFS(QTR!$E35:$CB35,QTR!$E$9:$CB$9,F$13)</f>
        <v>39.400000000000006</v>
      </c>
      <c r="G67" s="259">
        <f>SUMIFS(QTR!$E35:$CB35,QTR!$E$9:$CB$9,G$13)</f>
        <v>91</v>
      </c>
      <c r="H67" s="259">
        <f>SUMIFS(QTR!$E35:$CB35,QTR!$E$9:$CB$9,H$13)</f>
        <v>104.80000000000001</v>
      </c>
      <c r="I67" s="259">
        <f>SUMIFS(QTR!$E35:$CB35,QTR!$E$9:$CB$9,I$13)</f>
        <v>107.69999999999999</v>
      </c>
      <c r="J67" s="259">
        <f>SUMIFS(QTR!$E35:$CB35,QTR!$E$9:$CB$9,J$13)</f>
        <v>107.4</v>
      </c>
      <c r="K67" s="259">
        <f>SUMIFS(QTR!$E35:$CB35,QTR!$E$9:$CB$9,K$13)</f>
        <v>126.85615799999998</v>
      </c>
      <c r="L67" s="259"/>
      <c r="M67" s="259"/>
      <c r="N67" s="259"/>
      <c r="O67" s="259"/>
      <c r="P67" s="259"/>
      <c r="Q67" s="259"/>
      <c r="R67" s="259"/>
      <c r="S67" s="259"/>
      <c r="T67" s="259"/>
      <c r="U67" s="259"/>
      <c r="V67" s="259"/>
      <c r="W67" s="259"/>
      <c r="X67" s="259"/>
      <c r="Y67" s="259"/>
      <c r="Z67" s="259"/>
      <c r="AA67" s="259"/>
      <c r="AB67" s="259"/>
      <c r="AC67" s="259"/>
      <c r="AD67" s="259"/>
      <c r="AE67" s="259"/>
      <c r="AF67" s="259"/>
      <c r="AG67" s="259"/>
      <c r="AH67" s="259"/>
      <c r="AI67" s="259"/>
      <c r="AJ67" s="259"/>
      <c r="AK67" s="259"/>
      <c r="AL67" s="259"/>
    </row>
    <row r="68" spans="2:38" s="237" customFormat="1" x14ac:dyDescent="0.2">
      <c r="B68" s="239" t="s">
        <v>42</v>
      </c>
      <c r="C68" s="241" t="s">
        <v>37</v>
      </c>
      <c r="E68" s="257">
        <v>40</v>
      </c>
      <c r="F68" s="257">
        <f>79.5-E68</f>
        <v>39.5</v>
      </c>
      <c r="G68" s="257">
        <v>91.3</v>
      </c>
      <c r="H68" s="257">
        <f>196.2-G68</f>
        <v>104.89999999999999</v>
      </c>
      <c r="I68" s="257">
        <v>108.3</v>
      </c>
      <c r="J68" s="257">
        <f>215.7-I68</f>
        <v>107.39999999999999</v>
      </c>
      <c r="K68" s="229">
        <f t="shared" ref="K68:AL68" si="9">K64*K69</f>
        <v>126.10025999999999</v>
      </c>
      <c r="L68" s="229">
        <f t="shared" si="9"/>
        <v>116.85016000000003</v>
      </c>
      <c r="M68" s="229">
        <f t="shared" si="9"/>
        <v>132.40527299999999</v>
      </c>
      <c r="N68" s="229">
        <f t="shared" si="9"/>
        <v>122.69266800000004</v>
      </c>
      <c r="O68" s="229">
        <f t="shared" si="9"/>
        <v>139.02553664999999</v>
      </c>
      <c r="P68" s="229">
        <f t="shared" si="9"/>
        <v>128.82730140000004</v>
      </c>
      <c r="Q68" s="229">
        <f t="shared" si="9"/>
        <v>145.97681348250001</v>
      </c>
      <c r="R68" s="229">
        <f t="shared" si="9"/>
        <v>135.26866647000006</v>
      </c>
      <c r="S68" s="229">
        <f t="shared" si="9"/>
        <v>153.275654156625</v>
      </c>
      <c r="T68" s="229">
        <f t="shared" si="9"/>
        <v>142.03209979350007</v>
      </c>
      <c r="U68" s="229">
        <f t="shared" si="9"/>
        <v>160.93943686445627</v>
      </c>
      <c r="V68" s="229">
        <f t="shared" si="9"/>
        <v>149.13370478317509</v>
      </c>
      <c r="W68" s="229">
        <f t="shared" si="9"/>
        <v>168.98640870767906</v>
      </c>
      <c r="X68" s="229">
        <f t="shared" si="9"/>
        <v>156.59039002233385</v>
      </c>
      <c r="Y68" s="229">
        <f t="shared" si="9"/>
        <v>177.43572914306301</v>
      </c>
      <c r="Z68" s="229">
        <f t="shared" si="9"/>
        <v>164.41990952345057</v>
      </c>
      <c r="AA68" s="229">
        <f t="shared" si="9"/>
        <v>186.30751560021616</v>
      </c>
      <c r="AB68" s="229">
        <f t="shared" si="9"/>
        <v>172.6409049996231</v>
      </c>
      <c r="AC68" s="229">
        <f t="shared" si="9"/>
        <v>195.622891380227</v>
      </c>
      <c r="AD68" s="229">
        <f t="shared" si="9"/>
        <v>181.27295024960426</v>
      </c>
      <c r="AE68" s="229">
        <f t="shared" si="9"/>
        <v>205.40403594923836</v>
      </c>
      <c r="AF68" s="229">
        <f t="shared" si="9"/>
        <v>190.33659776208447</v>
      </c>
      <c r="AG68" s="229">
        <f t="shared" si="9"/>
        <v>215.6742377467003</v>
      </c>
      <c r="AH68" s="229">
        <f t="shared" si="9"/>
        <v>199.85342765018873</v>
      </c>
      <c r="AI68" s="229">
        <f t="shared" si="9"/>
        <v>226.45794963403532</v>
      </c>
      <c r="AJ68" s="229">
        <f t="shared" si="9"/>
        <v>209.84609903269816</v>
      </c>
      <c r="AK68" s="229">
        <f t="shared" si="9"/>
        <v>237.78084711573709</v>
      </c>
      <c r="AL68" s="229">
        <f t="shared" si="9"/>
        <v>220.33840398433307</v>
      </c>
    </row>
    <row r="69" spans="2:38" x14ac:dyDescent="0.2">
      <c r="B69" s="226" t="s">
        <v>47</v>
      </c>
      <c r="C69" s="205" t="s">
        <v>39</v>
      </c>
      <c r="E69" s="240">
        <f t="shared" ref="E69:I69" si="10">E68/E64</f>
        <v>0.13386880856760375</v>
      </c>
      <c r="F69" s="240">
        <f t="shared" si="10"/>
        <v>0.13476629136813376</v>
      </c>
      <c r="G69" s="240">
        <f t="shared" si="10"/>
        <v>0.14152844520229421</v>
      </c>
      <c r="H69" s="240">
        <f t="shared" si="10"/>
        <v>0.13530246356249193</v>
      </c>
      <c r="I69" s="240">
        <f t="shared" si="10"/>
        <v>0.13415087328130806</v>
      </c>
      <c r="J69" s="240">
        <f t="shared" ref="J69" si="11">J68/J64</f>
        <v>0.13639827279654557</v>
      </c>
      <c r="K69" s="408">
        <v>0.14199999999999999</v>
      </c>
      <c r="L69" s="408">
        <v>0.14000000000000001</v>
      </c>
      <c r="M69" s="282">
        <f t="shared" ref="M69:AL69" si="12">K69</f>
        <v>0.14199999999999999</v>
      </c>
      <c r="N69" s="282">
        <f t="shared" si="12"/>
        <v>0.14000000000000001</v>
      </c>
      <c r="O69" s="282">
        <f t="shared" si="12"/>
        <v>0.14199999999999999</v>
      </c>
      <c r="P69" s="282">
        <f t="shared" si="12"/>
        <v>0.14000000000000001</v>
      </c>
      <c r="Q69" s="282">
        <f t="shared" si="12"/>
        <v>0.14199999999999999</v>
      </c>
      <c r="R69" s="282">
        <f t="shared" si="12"/>
        <v>0.14000000000000001</v>
      </c>
      <c r="S69" s="282">
        <f t="shared" si="12"/>
        <v>0.14199999999999999</v>
      </c>
      <c r="T69" s="282">
        <f t="shared" si="12"/>
        <v>0.14000000000000001</v>
      </c>
      <c r="U69" s="282">
        <f t="shared" si="12"/>
        <v>0.14199999999999999</v>
      </c>
      <c r="V69" s="282">
        <f t="shared" si="12"/>
        <v>0.14000000000000001</v>
      </c>
      <c r="W69" s="282">
        <f t="shared" si="12"/>
        <v>0.14199999999999999</v>
      </c>
      <c r="X69" s="282">
        <f t="shared" si="12"/>
        <v>0.14000000000000001</v>
      </c>
      <c r="Y69" s="282">
        <f t="shared" si="12"/>
        <v>0.14199999999999999</v>
      </c>
      <c r="Z69" s="282">
        <f t="shared" si="12"/>
        <v>0.14000000000000001</v>
      </c>
      <c r="AA69" s="282">
        <f t="shared" si="12"/>
        <v>0.14199999999999999</v>
      </c>
      <c r="AB69" s="282">
        <f t="shared" si="12"/>
        <v>0.14000000000000001</v>
      </c>
      <c r="AC69" s="282">
        <f t="shared" si="12"/>
        <v>0.14199999999999999</v>
      </c>
      <c r="AD69" s="282">
        <f t="shared" si="12"/>
        <v>0.14000000000000001</v>
      </c>
      <c r="AE69" s="282">
        <f t="shared" si="12"/>
        <v>0.14199999999999999</v>
      </c>
      <c r="AF69" s="282">
        <f t="shared" si="12"/>
        <v>0.14000000000000001</v>
      </c>
      <c r="AG69" s="282">
        <f t="shared" si="12"/>
        <v>0.14199999999999999</v>
      </c>
      <c r="AH69" s="282">
        <f t="shared" si="12"/>
        <v>0.14000000000000001</v>
      </c>
      <c r="AI69" s="282">
        <f t="shared" si="12"/>
        <v>0.14199999999999999</v>
      </c>
      <c r="AJ69" s="282">
        <f t="shared" si="12"/>
        <v>0.14000000000000001</v>
      </c>
      <c r="AK69" s="282">
        <f t="shared" si="12"/>
        <v>0.14199999999999999</v>
      </c>
      <c r="AL69" s="282">
        <f t="shared" si="12"/>
        <v>0.14000000000000001</v>
      </c>
    </row>
    <row r="70" spans="2:38" x14ac:dyDescent="0.2">
      <c r="B70" s="226"/>
      <c r="C70" s="230"/>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c r="AG70" s="232"/>
      <c r="AH70" s="232"/>
      <c r="AI70" s="232"/>
      <c r="AJ70" s="232"/>
      <c r="AK70" s="232"/>
      <c r="AL70" s="232"/>
    </row>
    <row r="71" spans="2:38" x14ac:dyDescent="0.2">
      <c r="B71" s="234" t="s">
        <v>48</v>
      </c>
      <c r="C71" s="235" t="s">
        <v>37</v>
      </c>
      <c r="E71" s="232">
        <f t="shared" ref="E71:I71" si="13">E75-E68</f>
        <v>-9.3000000000000007</v>
      </c>
      <c r="F71" s="232">
        <f t="shared" si="13"/>
        <v>-7.2000000000000028</v>
      </c>
      <c r="G71" s="232">
        <f t="shared" si="13"/>
        <v>-23.899999999999991</v>
      </c>
      <c r="H71" s="232">
        <f t="shared" si="13"/>
        <v>-24.499999999999986</v>
      </c>
      <c r="I71" s="232">
        <f t="shared" si="13"/>
        <v>-32.5</v>
      </c>
      <c r="J71" s="232">
        <f t="shared" ref="J71" si="14">J75-J68</f>
        <v>-25.099999999999994</v>
      </c>
      <c r="K71" s="596">
        <f t="shared" ref="K71:AL71" si="15">K64*K72</f>
        <v>-33.745139999999999</v>
      </c>
      <c r="L71" s="596">
        <f t="shared" si="15"/>
        <v>-25.873964000000004</v>
      </c>
      <c r="M71" s="596">
        <f t="shared" si="15"/>
        <v>-35.432397000000002</v>
      </c>
      <c r="N71" s="596">
        <f t="shared" si="15"/>
        <v>-27.167662200000006</v>
      </c>
      <c r="O71" s="596">
        <f t="shared" si="15"/>
        <v>-37.204016850000002</v>
      </c>
      <c r="P71" s="596">
        <f t="shared" si="15"/>
        <v>-28.526045310000008</v>
      </c>
      <c r="Q71" s="596">
        <f t="shared" si="15"/>
        <v>-39.064217692500002</v>
      </c>
      <c r="R71" s="596">
        <f t="shared" si="15"/>
        <v>-29.95234757550001</v>
      </c>
      <c r="S71" s="596">
        <f t="shared" si="15"/>
        <v>-41.017428577125003</v>
      </c>
      <c r="T71" s="596">
        <f t="shared" si="15"/>
        <v>-31.449964954275014</v>
      </c>
      <c r="U71" s="596">
        <f t="shared" si="15"/>
        <v>-43.068300005981257</v>
      </c>
      <c r="V71" s="596">
        <f t="shared" si="15"/>
        <v>-33.022463201988764</v>
      </c>
      <c r="W71" s="596">
        <f t="shared" si="15"/>
        <v>-45.22171500628032</v>
      </c>
      <c r="X71" s="596">
        <f t="shared" si="15"/>
        <v>-34.673586362088209</v>
      </c>
      <c r="Y71" s="596">
        <f t="shared" si="15"/>
        <v>-47.48280075659433</v>
      </c>
      <c r="Z71" s="596">
        <f t="shared" si="15"/>
        <v>-36.407265680192623</v>
      </c>
      <c r="AA71" s="596">
        <f t="shared" si="15"/>
        <v>-49.856940794424048</v>
      </c>
      <c r="AB71" s="596">
        <f t="shared" si="15"/>
        <v>-38.227628964202253</v>
      </c>
      <c r="AC71" s="596">
        <f t="shared" si="15"/>
        <v>-52.349787834145253</v>
      </c>
      <c r="AD71" s="596">
        <f t="shared" si="15"/>
        <v>-40.139010412412368</v>
      </c>
      <c r="AE71" s="596">
        <f t="shared" si="15"/>
        <v>-54.96727722585252</v>
      </c>
      <c r="AF71" s="596">
        <f t="shared" si="15"/>
        <v>-42.145960933032988</v>
      </c>
      <c r="AG71" s="596">
        <f t="shared" si="15"/>
        <v>-57.715641087145151</v>
      </c>
      <c r="AH71" s="596">
        <f t="shared" si="15"/>
        <v>-44.253258979684638</v>
      </c>
      <c r="AI71" s="596">
        <f t="shared" si="15"/>
        <v>-60.601423141502408</v>
      </c>
      <c r="AJ71" s="596">
        <f t="shared" si="15"/>
        <v>-46.465921928668877</v>
      </c>
      <c r="AK71" s="596">
        <f t="shared" si="15"/>
        <v>-63.631494298577536</v>
      </c>
      <c r="AL71" s="596">
        <f t="shared" si="15"/>
        <v>-48.789218025102315</v>
      </c>
    </row>
    <row r="72" spans="2:38" x14ac:dyDescent="0.2">
      <c r="B72" s="413" t="s">
        <v>49</v>
      </c>
      <c r="C72" s="205" t="s">
        <v>39</v>
      </c>
      <c r="E72" s="240">
        <f t="shared" ref="E72:I72" si="16">E71/E64</f>
        <v>-3.1124497991967873E-2</v>
      </c>
      <c r="F72" s="240">
        <f t="shared" si="16"/>
        <v>-2.4564994882292746E-2</v>
      </c>
      <c r="G72" s="240">
        <f t="shared" si="16"/>
        <v>-3.7048519609362875E-2</v>
      </c>
      <c r="H72" s="240">
        <f t="shared" si="16"/>
        <v>-3.1600670708112968E-2</v>
      </c>
      <c r="I72" s="240">
        <f t="shared" si="16"/>
        <v>-4.0257648953301133E-2</v>
      </c>
      <c r="J72" s="240">
        <f t="shared" ref="J72" si="17">J71/J64</f>
        <v>-3.1877063754127501E-2</v>
      </c>
      <c r="K72" s="408">
        <v>-3.7999999999999999E-2</v>
      </c>
      <c r="L72" s="408">
        <v>-3.1E-2</v>
      </c>
      <c r="M72" s="282">
        <f t="shared" ref="M72:AL72" si="18">K72</f>
        <v>-3.7999999999999999E-2</v>
      </c>
      <c r="N72" s="282">
        <f t="shared" si="18"/>
        <v>-3.1E-2</v>
      </c>
      <c r="O72" s="282">
        <f t="shared" si="18"/>
        <v>-3.7999999999999999E-2</v>
      </c>
      <c r="P72" s="282">
        <f t="shared" si="18"/>
        <v>-3.1E-2</v>
      </c>
      <c r="Q72" s="282">
        <f t="shared" si="18"/>
        <v>-3.7999999999999999E-2</v>
      </c>
      <c r="R72" s="282">
        <f t="shared" si="18"/>
        <v>-3.1E-2</v>
      </c>
      <c r="S72" s="282">
        <f t="shared" si="18"/>
        <v>-3.7999999999999999E-2</v>
      </c>
      <c r="T72" s="282">
        <f t="shared" si="18"/>
        <v>-3.1E-2</v>
      </c>
      <c r="U72" s="282">
        <f t="shared" si="18"/>
        <v>-3.7999999999999999E-2</v>
      </c>
      <c r="V72" s="282">
        <f t="shared" si="18"/>
        <v>-3.1E-2</v>
      </c>
      <c r="W72" s="282">
        <f t="shared" si="18"/>
        <v>-3.7999999999999999E-2</v>
      </c>
      <c r="X72" s="282">
        <f t="shared" si="18"/>
        <v>-3.1E-2</v>
      </c>
      <c r="Y72" s="282">
        <f t="shared" si="18"/>
        <v>-3.7999999999999999E-2</v>
      </c>
      <c r="Z72" s="282">
        <f t="shared" si="18"/>
        <v>-3.1E-2</v>
      </c>
      <c r="AA72" s="282">
        <f t="shared" si="18"/>
        <v>-3.7999999999999999E-2</v>
      </c>
      <c r="AB72" s="282">
        <f t="shared" si="18"/>
        <v>-3.1E-2</v>
      </c>
      <c r="AC72" s="282">
        <f t="shared" si="18"/>
        <v>-3.7999999999999999E-2</v>
      </c>
      <c r="AD72" s="282">
        <f t="shared" si="18"/>
        <v>-3.1E-2</v>
      </c>
      <c r="AE72" s="282">
        <f t="shared" si="18"/>
        <v>-3.7999999999999999E-2</v>
      </c>
      <c r="AF72" s="282">
        <f t="shared" si="18"/>
        <v>-3.1E-2</v>
      </c>
      <c r="AG72" s="282">
        <f t="shared" si="18"/>
        <v>-3.7999999999999999E-2</v>
      </c>
      <c r="AH72" s="282">
        <f t="shared" si="18"/>
        <v>-3.1E-2</v>
      </c>
      <c r="AI72" s="282">
        <f t="shared" si="18"/>
        <v>-3.7999999999999999E-2</v>
      </c>
      <c r="AJ72" s="282">
        <f t="shared" si="18"/>
        <v>-3.1E-2</v>
      </c>
      <c r="AK72" s="282">
        <f t="shared" si="18"/>
        <v>-3.7999999999999999E-2</v>
      </c>
      <c r="AL72" s="282">
        <f t="shared" si="18"/>
        <v>-3.1E-2</v>
      </c>
    </row>
    <row r="74" spans="2:38" s="595" customFormat="1" x14ac:dyDescent="0.2">
      <c r="B74" s="593" t="s">
        <v>45</v>
      </c>
      <c r="C74" s="594" t="s">
        <v>37</v>
      </c>
      <c r="E74" s="259">
        <f>SUMIFS(QTR!$E41:$CB41,QTR!$E$9:$CB$9,E$13)</f>
        <v>30.7</v>
      </c>
      <c r="F74" s="259">
        <f>SUMIFS(QTR!$E41:$CB41,QTR!$E$9:$CB$9,F$13)</f>
        <v>32.6</v>
      </c>
      <c r="G74" s="259">
        <f>SUMIFS(QTR!$E41:$CB41,QTR!$E$9:$CB$9,G$13)</f>
        <v>67.099999999999994</v>
      </c>
      <c r="H74" s="259">
        <f>SUMIFS(QTR!$E41:$CB41,QTR!$E$9:$CB$9,H$13)</f>
        <v>78</v>
      </c>
      <c r="I74" s="259">
        <f>SUMIFS(QTR!$E41:$CB41,QTR!$E$9:$CB$9,I$13)</f>
        <v>75.900000000000006</v>
      </c>
      <c r="J74" s="259">
        <f>SUMIFS(QTR!$E41:$CB41,QTR!$E$9:$CB$9,J$13)</f>
        <v>82.1</v>
      </c>
      <c r="K74" s="259">
        <f>SUMIFS(QTR!$E41:$CB41,QTR!$E$9:$CB$9,K$13)</f>
        <v>93.973769999999973</v>
      </c>
      <c r="L74" s="259"/>
      <c r="M74" s="259"/>
      <c r="N74" s="259"/>
      <c r="O74" s="259"/>
      <c r="P74" s="259"/>
      <c r="Q74" s="259"/>
      <c r="R74" s="259"/>
      <c r="S74" s="259"/>
      <c r="T74" s="259"/>
      <c r="U74" s="259"/>
      <c r="V74" s="259"/>
      <c r="W74" s="259"/>
      <c r="X74" s="259"/>
      <c r="Y74" s="259"/>
      <c r="Z74" s="259"/>
      <c r="AA74" s="259"/>
      <c r="AB74" s="259"/>
      <c r="AC74" s="259"/>
      <c r="AD74" s="259"/>
      <c r="AE74" s="259"/>
      <c r="AF74" s="259"/>
      <c r="AG74" s="259"/>
      <c r="AH74" s="259"/>
      <c r="AI74" s="259"/>
      <c r="AJ74" s="259"/>
      <c r="AK74" s="259"/>
      <c r="AL74" s="259"/>
    </row>
    <row r="75" spans="2:38" s="237" customFormat="1" x14ac:dyDescent="0.2">
      <c r="B75" s="239" t="s">
        <v>43</v>
      </c>
      <c r="C75" s="241" t="s">
        <v>37</v>
      </c>
      <c r="E75" s="257">
        <v>30.7</v>
      </c>
      <c r="F75" s="257">
        <f>63-E75</f>
        <v>32.299999999999997</v>
      </c>
      <c r="G75" s="257">
        <v>67.400000000000006</v>
      </c>
      <c r="H75" s="257">
        <f>147.8-G75</f>
        <v>80.400000000000006</v>
      </c>
      <c r="I75" s="257">
        <v>75.8</v>
      </c>
      <c r="J75" s="257">
        <f>158.1-I75</f>
        <v>82.3</v>
      </c>
      <c r="K75" s="229">
        <f t="shared" ref="K75:AL75" si="19">K68+K71</f>
        <v>92.355119999999999</v>
      </c>
      <c r="L75" s="229">
        <f t="shared" si="19"/>
        <v>90.97619600000003</v>
      </c>
      <c r="M75" s="229">
        <f t="shared" si="19"/>
        <v>96.972875999999985</v>
      </c>
      <c r="N75" s="229">
        <f t="shared" si="19"/>
        <v>95.525005800000031</v>
      </c>
      <c r="O75" s="229">
        <f t="shared" si="19"/>
        <v>101.82151979999999</v>
      </c>
      <c r="P75" s="229">
        <f t="shared" si="19"/>
        <v>100.30125609000004</v>
      </c>
      <c r="Q75" s="229">
        <f t="shared" si="19"/>
        <v>106.91259579000001</v>
      </c>
      <c r="R75" s="229">
        <f t="shared" si="19"/>
        <v>105.31631889450004</v>
      </c>
      <c r="S75" s="229">
        <f t="shared" si="19"/>
        <v>112.25822557949999</v>
      </c>
      <c r="T75" s="229">
        <f t="shared" si="19"/>
        <v>110.58213483922505</v>
      </c>
      <c r="U75" s="229">
        <f t="shared" si="19"/>
        <v>117.87113685847501</v>
      </c>
      <c r="V75" s="229">
        <f t="shared" si="19"/>
        <v>116.11124158118633</v>
      </c>
      <c r="W75" s="229">
        <f t="shared" si="19"/>
        <v>123.76469370139874</v>
      </c>
      <c r="X75" s="229">
        <f t="shared" si="19"/>
        <v>121.91680366024565</v>
      </c>
      <c r="Y75" s="229">
        <f t="shared" si="19"/>
        <v>129.95292838646867</v>
      </c>
      <c r="Z75" s="229">
        <f t="shared" si="19"/>
        <v>128.01264384325793</v>
      </c>
      <c r="AA75" s="229">
        <f t="shared" si="19"/>
        <v>136.45057480579212</v>
      </c>
      <c r="AB75" s="229">
        <f t="shared" si="19"/>
        <v>134.41327603542084</v>
      </c>
      <c r="AC75" s="229">
        <f t="shared" si="19"/>
        <v>143.27310354608176</v>
      </c>
      <c r="AD75" s="229">
        <f t="shared" si="19"/>
        <v>141.13393983719189</v>
      </c>
      <c r="AE75" s="229">
        <f t="shared" si="19"/>
        <v>150.43675872338585</v>
      </c>
      <c r="AF75" s="229">
        <f t="shared" si="19"/>
        <v>148.19063682905147</v>
      </c>
      <c r="AG75" s="229">
        <f t="shared" si="19"/>
        <v>157.95859665955516</v>
      </c>
      <c r="AH75" s="229">
        <f t="shared" si="19"/>
        <v>155.6001686705041</v>
      </c>
      <c r="AI75" s="229">
        <f t="shared" si="19"/>
        <v>165.85652649253291</v>
      </c>
      <c r="AJ75" s="229">
        <f t="shared" si="19"/>
        <v>163.38017710402929</v>
      </c>
      <c r="AK75" s="229">
        <f t="shared" si="19"/>
        <v>174.14935281715955</v>
      </c>
      <c r="AL75" s="229">
        <f t="shared" si="19"/>
        <v>171.54918595923075</v>
      </c>
    </row>
    <row r="76" spans="2:38" x14ac:dyDescent="0.2">
      <c r="B76" s="226" t="s">
        <v>47</v>
      </c>
      <c r="C76" s="205" t="s">
        <v>39</v>
      </c>
      <c r="E76" s="240">
        <f t="shared" ref="E76:AL76" si="20">E75/E64</f>
        <v>0.10274431057563586</v>
      </c>
      <c r="F76" s="240">
        <f t="shared" si="20"/>
        <v>0.11020129648584101</v>
      </c>
      <c r="G76" s="240">
        <f t="shared" si="20"/>
        <v>0.10447992559293133</v>
      </c>
      <c r="H76" s="240">
        <f t="shared" si="20"/>
        <v>0.10370179285437894</v>
      </c>
      <c r="I76" s="240">
        <f t="shared" si="20"/>
        <v>9.3893224328006938E-2</v>
      </c>
      <c r="J76" s="240">
        <f t="shared" ref="J76" si="21">J75/J64</f>
        <v>0.10452120904241807</v>
      </c>
      <c r="K76" s="240">
        <f t="shared" si="20"/>
        <v>0.10400000000000001</v>
      </c>
      <c r="L76" s="240">
        <f t="shared" si="20"/>
        <v>0.10900000000000001</v>
      </c>
      <c r="M76" s="240">
        <f t="shared" si="20"/>
        <v>0.10399999999999998</v>
      </c>
      <c r="N76" s="240">
        <f t="shared" si="20"/>
        <v>0.10900000000000001</v>
      </c>
      <c r="O76" s="240">
        <f t="shared" si="20"/>
        <v>0.10399999999999998</v>
      </c>
      <c r="P76" s="240">
        <f t="shared" si="20"/>
        <v>0.10900000000000001</v>
      </c>
      <c r="Q76" s="240">
        <f t="shared" si="20"/>
        <v>0.104</v>
      </c>
      <c r="R76" s="240">
        <f t="shared" si="20"/>
        <v>0.109</v>
      </c>
      <c r="S76" s="240">
        <f t="shared" si="20"/>
        <v>0.10399999999999998</v>
      </c>
      <c r="T76" s="240">
        <f t="shared" si="20"/>
        <v>0.109</v>
      </c>
      <c r="U76" s="240">
        <f t="shared" si="20"/>
        <v>0.104</v>
      </c>
      <c r="V76" s="240">
        <f t="shared" si="20"/>
        <v>0.10900000000000003</v>
      </c>
      <c r="W76" s="240">
        <f t="shared" si="20"/>
        <v>0.10399999999999998</v>
      </c>
      <c r="X76" s="240">
        <f t="shared" si="20"/>
        <v>0.10900000000000001</v>
      </c>
      <c r="Y76" s="240">
        <f t="shared" si="20"/>
        <v>0.10399999999999998</v>
      </c>
      <c r="Z76" s="240">
        <f t="shared" si="20"/>
        <v>0.10900000000000001</v>
      </c>
      <c r="AA76" s="240">
        <f t="shared" si="20"/>
        <v>0.10399999999999998</v>
      </c>
      <c r="AB76" s="240">
        <f t="shared" si="20"/>
        <v>0.109</v>
      </c>
      <c r="AC76" s="240">
        <f t="shared" si="20"/>
        <v>0.104</v>
      </c>
      <c r="AD76" s="240">
        <f t="shared" si="20"/>
        <v>0.109</v>
      </c>
      <c r="AE76" s="240">
        <f t="shared" si="20"/>
        <v>0.104</v>
      </c>
      <c r="AF76" s="240">
        <f t="shared" si="20"/>
        <v>0.109</v>
      </c>
      <c r="AG76" s="240">
        <f t="shared" si="20"/>
        <v>0.104</v>
      </c>
      <c r="AH76" s="240">
        <f t="shared" si="20"/>
        <v>0.10900000000000003</v>
      </c>
      <c r="AI76" s="240">
        <f t="shared" si="20"/>
        <v>0.104</v>
      </c>
      <c r="AJ76" s="240">
        <f t="shared" si="20"/>
        <v>0.10900000000000001</v>
      </c>
      <c r="AK76" s="240">
        <f t="shared" si="20"/>
        <v>0.10399999999999998</v>
      </c>
      <c r="AL76" s="240">
        <f t="shared" si="20"/>
        <v>0.10900000000000001</v>
      </c>
    </row>
    <row r="78" spans="2:38" s="237" customFormat="1" x14ac:dyDescent="0.2">
      <c r="B78" s="239" t="s">
        <v>50</v>
      </c>
      <c r="C78" s="241" t="s">
        <v>51</v>
      </c>
      <c r="E78" s="257"/>
      <c r="F78" s="257"/>
      <c r="G78" s="257">
        <v>144.697</v>
      </c>
      <c r="H78" s="257">
        <v>155.41999999999999</v>
      </c>
      <c r="I78" s="257">
        <v>163.50399999999999</v>
      </c>
      <c r="J78" s="257">
        <v>156.47900000000001</v>
      </c>
      <c r="K78" s="229"/>
      <c r="L78" s="229"/>
      <c r="M78" s="229"/>
      <c r="N78" s="229"/>
      <c r="O78" s="229"/>
      <c r="P78" s="229"/>
      <c r="Q78" s="229"/>
      <c r="R78" s="229"/>
      <c r="S78" s="229"/>
      <c r="T78" s="229"/>
      <c r="U78" s="229"/>
      <c r="V78" s="229"/>
      <c r="W78" s="229"/>
      <c r="X78" s="229"/>
      <c r="Y78" s="229"/>
      <c r="Z78" s="229"/>
      <c r="AA78" s="229"/>
      <c r="AB78" s="229"/>
      <c r="AC78" s="229"/>
      <c r="AD78" s="229"/>
      <c r="AE78" s="229"/>
      <c r="AF78" s="229"/>
      <c r="AG78" s="229"/>
      <c r="AH78" s="229"/>
      <c r="AI78" s="229"/>
      <c r="AJ78" s="229"/>
      <c r="AK78" s="229"/>
      <c r="AL78" s="229"/>
    </row>
    <row r="79" spans="2:38" x14ac:dyDescent="0.2">
      <c r="B79" s="226" t="s">
        <v>52</v>
      </c>
      <c r="C79" s="205" t="s">
        <v>53</v>
      </c>
      <c r="E79" s="232"/>
      <c r="F79" s="232"/>
      <c r="G79" s="228">
        <f>G64/G78*1000</f>
        <v>4458.2817888415102</v>
      </c>
      <c r="H79" s="228">
        <f>H64/H78*1000</f>
        <v>4988.4184789602377</v>
      </c>
      <c r="I79" s="228">
        <f>I64/I78*1000</f>
        <v>4937.4938839416773</v>
      </c>
      <c r="J79" s="228">
        <f>J64/J78*1000</f>
        <v>5031.9851226043111</v>
      </c>
      <c r="K79" s="232"/>
      <c r="L79" s="232"/>
      <c r="M79" s="232"/>
      <c r="N79" s="232"/>
      <c r="O79" s="232"/>
      <c r="P79" s="232"/>
      <c r="Q79" s="232"/>
      <c r="R79" s="232"/>
      <c r="S79" s="232"/>
      <c r="T79" s="232"/>
      <c r="U79" s="232"/>
      <c r="V79" s="232"/>
      <c r="W79" s="232"/>
      <c r="X79" s="232"/>
      <c r="Y79" s="232"/>
      <c r="Z79" s="232"/>
      <c r="AA79" s="232"/>
      <c r="AB79" s="232"/>
      <c r="AC79" s="232"/>
      <c r="AD79" s="232"/>
      <c r="AE79" s="232"/>
      <c r="AF79" s="232"/>
      <c r="AG79" s="232"/>
      <c r="AH79" s="232"/>
      <c r="AI79" s="232"/>
      <c r="AJ79" s="232"/>
      <c r="AK79" s="232"/>
      <c r="AL79" s="232"/>
    </row>
    <row r="80" spans="2:38" x14ac:dyDescent="0.2">
      <c r="B80" s="226" t="s">
        <v>54</v>
      </c>
      <c r="C80" s="205" t="s">
        <v>53</v>
      </c>
      <c r="E80" s="232"/>
      <c r="F80" s="232"/>
      <c r="G80" s="228">
        <f>G75/G78*1000</f>
        <v>465.80094957048181</v>
      </c>
      <c r="H80" s="228">
        <f>H75/H78*1000</f>
        <v>517.30793977609073</v>
      </c>
      <c r="I80" s="228">
        <f>I75/I78*1000</f>
        <v>463.59722086309819</v>
      </c>
      <c r="J80" s="228">
        <f>J75/J78*1000</f>
        <v>525.94916889806302</v>
      </c>
      <c r="K80" s="232"/>
      <c r="L80" s="232"/>
      <c r="M80" s="232"/>
      <c r="N80" s="232"/>
      <c r="O80" s="232"/>
      <c r="P80" s="232"/>
      <c r="Q80" s="232"/>
      <c r="R80" s="232"/>
      <c r="S80" s="232"/>
      <c r="T80" s="232"/>
      <c r="U80" s="232"/>
      <c r="V80" s="232"/>
      <c r="W80" s="232"/>
      <c r="X80" s="232"/>
      <c r="Y80" s="232"/>
      <c r="Z80" s="232"/>
      <c r="AA80" s="232"/>
      <c r="AB80" s="232"/>
      <c r="AC80" s="232"/>
      <c r="AD80" s="232"/>
      <c r="AE80" s="232"/>
      <c r="AF80" s="232"/>
      <c r="AG80" s="232"/>
      <c r="AH80" s="232"/>
      <c r="AI80" s="232"/>
      <c r="AJ80" s="232"/>
      <c r="AK80" s="232"/>
      <c r="AL80" s="232"/>
    </row>
    <row r="81" spans="2:38" x14ac:dyDescent="0.2">
      <c r="B81" s="226"/>
      <c r="C81" s="230"/>
      <c r="K81" s="232"/>
      <c r="L81" s="232"/>
      <c r="M81" s="232"/>
      <c r="N81" s="232"/>
      <c r="O81" s="232"/>
      <c r="P81" s="232"/>
      <c r="Q81" s="232"/>
      <c r="R81" s="232"/>
      <c r="S81" s="232"/>
      <c r="T81" s="232"/>
      <c r="U81" s="232"/>
      <c r="V81" s="232"/>
      <c r="W81" s="232"/>
      <c r="X81" s="232"/>
      <c r="Y81" s="232"/>
      <c r="Z81" s="232"/>
      <c r="AA81" s="232"/>
      <c r="AB81" s="232"/>
      <c r="AC81" s="232"/>
      <c r="AD81" s="232"/>
      <c r="AE81" s="232"/>
      <c r="AF81" s="232"/>
      <c r="AG81" s="232"/>
      <c r="AH81" s="232"/>
      <c r="AI81" s="232"/>
      <c r="AJ81" s="232"/>
      <c r="AK81" s="232"/>
      <c r="AL81" s="232"/>
    </row>
    <row r="82" spans="2:38" x14ac:dyDescent="0.2">
      <c r="B82" s="550" t="s">
        <v>55</v>
      </c>
      <c r="C82" s="230"/>
      <c r="K82" s="232"/>
      <c r="L82" s="232"/>
      <c r="M82" s="232"/>
      <c r="N82" s="232"/>
      <c r="O82" s="232"/>
      <c r="P82" s="232"/>
      <c r="Q82" s="232"/>
      <c r="R82" s="232"/>
      <c r="S82" s="232"/>
      <c r="T82" s="232"/>
      <c r="U82" s="232"/>
      <c r="V82" s="232"/>
      <c r="W82" s="232"/>
      <c r="X82" s="232"/>
      <c r="Y82" s="232"/>
      <c r="Z82" s="232"/>
      <c r="AA82" s="232"/>
      <c r="AB82" s="232"/>
      <c r="AC82" s="232"/>
      <c r="AD82" s="232"/>
      <c r="AE82" s="232"/>
      <c r="AF82" s="232"/>
      <c r="AG82" s="232"/>
      <c r="AH82" s="232"/>
      <c r="AI82" s="232"/>
      <c r="AJ82" s="232"/>
      <c r="AK82" s="232"/>
      <c r="AL82" s="232"/>
    </row>
    <row r="83" spans="2:38" x14ac:dyDescent="0.2">
      <c r="B83" s="226" t="s">
        <v>56</v>
      </c>
      <c r="C83" s="230"/>
      <c r="E83" s="306">
        <v>542</v>
      </c>
      <c r="F83" s="573">
        <f>9068-E83</f>
        <v>8526</v>
      </c>
      <c r="G83" s="573">
        <v>8160</v>
      </c>
      <c r="H83" s="573">
        <f>22388-G83</f>
        <v>14228</v>
      </c>
      <c r="I83" s="573">
        <v>9658</v>
      </c>
      <c r="J83" s="573">
        <f>26037-I83</f>
        <v>16379</v>
      </c>
      <c r="K83" s="240"/>
      <c r="L83" s="240"/>
      <c r="M83" s="232"/>
      <c r="N83" s="232"/>
      <c r="O83" s="232"/>
      <c r="P83" s="232"/>
      <c r="Q83" s="232"/>
      <c r="R83" s="232"/>
      <c r="S83" s="232"/>
      <c r="T83" s="232"/>
      <c r="U83" s="232"/>
      <c r="V83" s="232"/>
      <c r="W83" s="232"/>
      <c r="X83" s="232"/>
      <c r="Y83" s="232"/>
      <c r="Z83" s="232"/>
      <c r="AA83" s="232"/>
      <c r="AB83" s="232"/>
      <c r="AC83" s="232"/>
      <c r="AD83" s="232"/>
      <c r="AE83" s="232"/>
      <c r="AF83" s="232"/>
      <c r="AG83" s="232"/>
      <c r="AH83" s="232"/>
      <c r="AI83" s="232"/>
      <c r="AJ83" s="232"/>
      <c r="AK83" s="232"/>
      <c r="AL83" s="232"/>
    </row>
    <row r="84" spans="2:38" x14ac:dyDescent="0.2">
      <c r="B84" s="226" t="s">
        <v>57</v>
      </c>
      <c r="C84" s="230"/>
      <c r="E84" s="573">
        <v>15295</v>
      </c>
      <c r="F84" s="573">
        <f>25554-E84</f>
        <v>10259</v>
      </c>
      <c r="G84" s="573">
        <v>28983</v>
      </c>
      <c r="H84" s="573">
        <f>57718-G84</f>
        <v>28735</v>
      </c>
      <c r="I84" s="573">
        <v>32894</v>
      </c>
      <c r="J84" s="573">
        <f>66099-I84</f>
        <v>33205</v>
      </c>
      <c r="K84" s="232"/>
      <c r="L84" s="232"/>
      <c r="M84" s="232"/>
      <c r="N84" s="232"/>
      <c r="O84" s="232"/>
      <c r="P84" s="232"/>
      <c r="Q84" s="232"/>
      <c r="R84" s="232"/>
      <c r="S84" s="232"/>
      <c r="T84" s="232"/>
      <c r="U84" s="232"/>
      <c r="V84" s="232"/>
      <c r="W84" s="232"/>
      <c r="X84" s="232"/>
      <c r="Y84" s="232"/>
      <c r="Z84" s="232"/>
      <c r="AA84" s="232"/>
      <c r="AB84" s="232"/>
      <c r="AC84" s="232"/>
      <c r="AD84" s="232"/>
      <c r="AE84" s="232"/>
      <c r="AF84" s="232"/>
      <c r="AG84" s="232"/>
      <c r="AH84" s="232"/>
      <c r="AI84" s="232"/>
      <c r="AJ84" s="232"/>
      <c r="AK84" s="232"/>
      <c r="AL84" s="232"/>
    </row>
    <row r="85" spans="2:38" x14ac:dyDescent="0.2">
      <c r="B85" s="226" t="s">
        <v>58</v>
      </c>
      <c r="C85" s="230"/>
      <c r="E85" s="573">
        <v>9370</v>
      </c>
      <c r="F85" s="573">
        <f>18225-E85</f>
        <v>8855</v>
      </c>
      <c r="G85" s="573">
        <v>18252</v>
      </c>
      <c r="H85" s="573">
        <f>38964-G85</f>
        <v>20712</v>
      </c>
      <c r="I85" s="573">
        <v>20432</v>
      </c>
      <c r="J85" s="573">
        <f>40490-I85</f>
        <v>20058</v>
      </c>
      <c r="K85" s="232"/>
      <c r="L85" s="232"/>
      <c r="M85" s="232"/>
      <c r="N85" s="232"/>
      <c r="O85" s="232"/>
      <c r="P85" s="232"/>
      <c r="Q85" s="232"/>
      <c r="R85" s="232"/>
      <c r="S85" s="232"/>
      <c r="T85" s="232"/>
      <c r="U85" s="232"/>
      <c r="V85" s="232"/>
      <c r="W85" s="232"/>
      <c r="X85" s="232"/>
      <c r="Y85" s="232"/>
      <c r="Z85" s="232"/>
      <c r="AA85" s="232"/>
      <c r="AB85" s="232"/>
      <c r="AC85" s="232"/>
      <c r="AD85" s="232"/>
      <c r="AE85" s="232"/>
      <c r="AF85" s="232"/>
      <c r="AG85" s="232"/>
      <c r="AH85" s="232"/>
      <c r="AI85" s="232"/>
      <c r="AJ85" s="232"/>
      <c r="AK85" s="232"/>
      <c r="AL85" s="232"/>
    </row>
    <row r="86" spans="2:38" x14ac:dyDescent="0.2">
      <c r="B86" s="226" t="s">
        <v>59</v>
      </c>
      <c r="C86" s="230"/>
      <c r="E86" s="573">
        <v>2610</v>
      </c>
      <c r="F86" s="573">
        <f>4742-E86</f>
        <v>2132</v>
      </c>
      <c r="G86" s="573">
        <v>6145</v>
      </c>
      <c r="H86" s="573">
        <f>12968-G86</f>
        <v>6823</v>
      </c>
      <c r="I86" s="573">
        <v>5879</v>
      </c>
      <c r="J86" s="573">
        <f>11130-I86</f>
        <v>5251</v>
      </c>
      <c r="K86" s="232"/>
      <c r="L86" s="232"/>
      <c r="M86" s="232"/>
      <c r="N86" s="232"/>
      <c r="O86" s="232"/>
      <c r="P86" s="232"/>
      <c r="Q86" s="232"/>
      <c r="R86" s="232"/>
      <c r="S86" s="232"/>
      <c r="T86" s="232"/>
      <c r="U86" s="232"/>
      <c r="V86" s="232"/>
      <c r="W86" s="232"/>
      <c r="X86" s="232"/>
      <c r="Y86" s="232"/>
      <c r="Z86" s="232"/>
      <c r="AA86" s="232"/>
      <c r="AB86" s="232"/>
      <c r="AC86" s="232"/>
      <c r="AD86" s="232"/>
      <c r="AE86" s="232"/>
      <c r="AF86" s="232"/>
      <c r="AG86" s="232"/>
      <c r="AH86" s="232"/>
      <c r="AI86" s="232"/>
      <c r="AJ86" s="232"/>
      <c r="AK86" s="232"/>
      <c r="AL86" s="232"/>
    </row>
    <row r="87" spans="2:38" s="237" customFormat="1" x14ac:dyDescent="0.2">
      <c r="B87" s="411" t="s">
        <v>60</v>
      </c>
      <c r="C87" s="468"/>
      <c r="E87" s="605">
        <v>27817</v>
      </c>
      <c r="F87" s="605">
        <f>57589-E87</f>
        <v>29772</v>
      </c>
      <c r="G87" s="605">
        <v>61540</v>
      </c>
      <c r="H87" s="605">
        <f>132038-G87</f>
        <v>70498</v>
      </c>
      <c r="I87" s="605">
        <v>68863</v>
      </c>
      <c r="J87" s="605">
        <f>143756-I87</f>
        <v>74893</v>
      </c>
      <c r="K87" s="229"/>
      <c r="L87" s="229"/>
      <c r="M87" s="229"/>
      <c r="N87" s="229"/>
      <c r="O87" s="229"/>
      <c r="P87" s="229"/>
      <c r="Q87" s="229"/>
      <c r="R87" s="229"/>
      <c r="S87" s="229"/>
      <c r="T87" s="229"/>
      <c r="U87" s="229"/>
      <c r="V87" s="229"/>
      <c r="W87" s="229"/>
      <c r="X87" s="229"/>
      <c r="Y87" s="229"/>
      <c r="Z87" s="229"/>
      <c r="AA87" s="229"/>
      <c r="AB87" s="229"/>
      <c r="AC87" s="229"/>
      <c r="AD87" s="229"/>
      <c r="AE87" s="229"/>
      <c r="AF87" s="229"/>
      <c r="AG87" s="229"/>
      <c r="AH87" s="229"/>
      <c r="AI87" s="229"/>
      <c r="AJ87" s="229"/>
      <c r="AK87" s="229"/>
      <c r="AL87" s="229"/>
    </row>
    <row r="88" spans="2:38" x14ac:dyDescent="0.2">
      <c r="B88" s="226"/>
      <c r="C88" s="230"/>
      <c r="K88" s="232"/>
      <c r="L88" s="232"/>
      <c r="M88" s="232"/>
      <c r="N88" s="232"/>
      <c r="O88" s="232"/>
      <c r="P88" s="232"/>
      <c r="Q88" s="232"/>
      <c r="R88" s="232"/>
      <c r="S88" s="232"/>
      <c r="T88" s="232"/>
      <c r="U88" s="232"/>
      <c r="V88" s="232"/>
      <c r="W88" s="232"/>
      <c r="X88" s="232"/>
      <c r="Y88" s="232"/>
      <c r="Z88" s="232"/>
      <c r="AA88" s="232"/>
      <c r="AB88" s="232"/>
      <c r="AC88" s="232"/>
      <c r="AD88" s="232"/>
      <c r="AE88" s="232"/>
      <c r="AF88" s="232"/>
      <c r="AG88" s="232"/>
      <c r="AH88" s="232"/>
      <c r="AI88" s="232"/>
      <c r="AJ88" s="232"/>
      <c r="AK88" s="232"/>
      <c r="AL88" s="232"/>
    </row>
    <row r="89" spans="2:38" x14ac:dyDescent="0.2">
      <c r="B89" s="550" t="s">
        <v>61</v>
      </c>
      <c r="C89" s="230"/>
      <c r="K89" s="232"/>
      <c r="L89" s="232"/>
      <c r="M89" s="232"/>
      <c r="N89" s="232"/>
      <c r="O89" s="232"/>
      <c r="P89" s="232"/>
      <c r="Q89" s="232"/>
      <c r="R89" s="232"/>
      <c r="S89" s="232"/>
      <c r="T89" s="232"/>
      <c r="U89" s="232"/>
      <c r="V89" s="232"/>
      <c r="W89" s="232"/>
      <c r="X89" s="232"/>
      <c r="Y89" s="232"/>
      <c r="Z89" s="232"/>
      <c r="AA89" s="232"/>
      <c r="AB89" s="232"/>
      <c r="AC89" s="232"/>
      <c r="AD89" s="232"/>
      <c r="AE89" s="232"/>
      <c r="AF89" s="232"/>
      <c r="AG89" s="232"/>
      <c r="AH89" s="232"/>
      <c r="AI89" s="232"/>
      <c r="AJ89" s="232"/>
      <c r="AK89" s="232"/>
      <c r="AL89" s="232"/>
    </row>
    <row r="90" spans="2:38" x14ac:dyDescent="0.2">
      <c r="B90" s="226" t="s">
        <v>56</v>
      </c>
      <c r="C90" s="230"/>
      <c r="G90" s="300">
        <f t="shared" ref="G90:J94" si="22">G83/E83-1</f>
        <v>14.055350553505535</v>
      </c>
      <c r="H90" s="300">
        <f t="shared" si="22"/>
        <v>0.66877785596997419</v>
      </c>
      <c r="I90" s="300">
        <f t="shared" si="22"/>
        <v>0.18357843137254903</v>
      </c>
      <c r="J90" s="300">
        <f t="shared" si="22"/>
        <v>0.15118077031206067</v>
      </c>
      <c r="K90" s="232"/>
      <c r="L90" s="232"/>
      <c r="M90" s="232"/>
      <c r="N90" s="232"/>
      <c r="O90" s="232"/>
      <c r="P90" s="232"/>
      <c r="Q90" s="232"/>
      <c r="R90" s="232"/>
      <c r="S90" s="232"/>
      <c r="T90" s="232"/>
      <c r="U90" s="232"/>
      <c r="V90" s="232"/>
      <c r="W90" s="232"/>
      <c r="X90" s="232"/>
      <c r="Y90" s="232"/>
      <c r="Z90" s="232"/>
      <c r="AA90" s="232"/>
      <c r="AB90" s="232"/>
      <c r="AC90" s="232"/>
      <c r="AD90" s="232"/>
      <c r="AE90" s="232"/>
      <c r="AF90" s="232"/>
      <c r="AG90" s="232"/>
      <c r="AH90" s="232"/>
      <c r="AI90" s="232"/>
      <c r="AJ90" s="232"/>
      <c r="AK90" s="232"/>
      <c r="AL90" s="232"/>
    </row>
    <row r="91" spans="2:38" x14ac:dyDescent="0.2">
      <c r="B91" s="226" t="s">
        <v>57</v>
      </c>
      <c r="C91" s="230"/>
      <c r="G91" s="300">
        <f t="shared" si="22"/>
        <v>0.89493298463550186</v>
      </c>
      <c r="H91" s="300">
        <f t="shared" si="22"/>
        <v>1.8009552587971536</v>
      </c>
      <c r="I91" s="300">
        <f t="shared" si="22"/>
        <v>0.13494117241141357</v>
      </c>
      <c r="J91" s="300">
        <f t="shared" si="22"/>
        <v>0.1555594223072907</v>
      </c>
      <c r="K91" s="232"/>
      <c r="L91" s="232"/>
      <c r="M91" s="232"/>
      <c r="N91" s="232"/>
      <c r="O91" s="232"/>
      <c r="P91" s="232"/>
      <c r="Q91" s="232"/>
      <c r="R91" s="232"/>
      <c r="S91" s="232"/>
      <c r="T91" s="232"/>
      <c r="U91" s="232"/>
      <c r="V91" s="232"/>
      <c r="W91" s="232"/>
      <c r="X91" s="232"/>
      <c r="Y91" s="232"/>
      <c r="Z91" s="232"/>
      <c r="AA91" s="232"/>
      <c r="AB91" s="232"/>
      <c r="AC91" s="232"/>
      <c r="AD91" s="232"/>
      <c r="AE91" s="232"/>
      <c r="AF91" s="232"/>
      <c r="AG91" s="232"/>
      <c r="AH91" s="232"/>
      <c r="AI91" s="232"/>
      <c r="AJ91" s="232"/>
      <c r="AK91" s="232"/>
      <c r="AL91" s="232"/>
    </row>
    <row r="92" spans="2:38" x14ac:dyDescent="0.2">
      <c r="B92" s="226" t="s">
        <v>58</v>
      </c>
      <c r="C92" s="230"/>
      <c r="G92" s="300">
        <f t="shared" si="22"/>
        <v>0.94791889007470642</v>
      </c>
      <c r="H92" s="300">
        <f t="shared" si="22"/>
        <v>1.3390175042348957</v>
      </c>
      <c r="I92" s="300">
        <f t="shared" si="22"/>
        <v>0.11943896559281164</v>
      </c>
      <c r="J92" s="300">
        <f t="shared" si="22"/>
        <v>-3.1575898030127503E-2</v>
      </c>
      <c r="K92" s="232"/>
      <c r="L92" s="232"/>
      <c r="M92" s="232"/>
      <c r="N92" s="232"/>
      <c r="O92" s="232"/>
      <c r="P92" s="232"/>
      <c r="Q92" s="232"/>
      <c r="R92" s="232"/>
      <c r="S92" s="232"/>
      <c r="T92" s="232"/>
      <c r="U92" s="232"/>
      <c r="V92" s="232"/>
      <c r="W92" s="232"/>
      <c r="X92" s="232"/>
      <c r="Y92" s="232"/>
      <c r="Z92" s="232"/>
      <c r="AA92" s="232"/>
      <c r="AB92" s="232"/>
      <c r="AC92" s="232"/>
      <c r="AD92" s="232"/>
      <c r="AE92" s="232"/>
      <c r="AF92" s="232"/>
      <c r="AG92" s="232"/>
      <c r="AH92" s="232"/>
      <c r="AI92" s="232"/>
      <c r="AJ92" s="232"/>
      <c r="AK92" s="232"/>
      <c r="AL92" s="232"/>
    </row>
    <row r="93" spans="2:38" x14ac:dyDescent="0.2">
      <c r="B93" s="226" t="s">
        <v>59</v>
      </c>
      <c r="C93" s="230"/>
      <c r="G93" s="300">
        <f t="shared" si="22"/>
        <v>1.3544061302681993</v>
      </c>
      <c r="H93" s="300">
        <f t="shared" si="22"/>
        <v>2.2002814258911818</v>
      </c>
      <c r="I93" s="300">
        <f t="shared" si="22"/>
        <v>-4.32872253864931E-2</v>
      </c>
      <c r="J93" s="300">
        <f t="shared" si="22"/>
        <v>-0.23039718598856807</v>
      </c>
      <c r="K93" s="232"/>
      <c r="L93" s="232"/>
      <c r="M93" s="232"/>
      <c r="N93" s="232"/>
      <c r="O93" s="232"/>
      <c r="P93" s="232"/>
      <c r="Q93" s="232"/>
      <c r="R93" s="232"/>
      <c r="S93" s="232"/>
      <c r="T93" s="232"/>
      <c r="U93" s="232"/>
      <c r="V93" s="232"/>
      <c r="W93" s="232"/>
      <c r="X93" s="232"/>
      <c r="Y93" s="232"/>
      <c r="Z93" s="232"/>
      <c r="AA93" s="232"/>
      <c r="AB93" s="232"/>
      <c r="AC93" s="232"/>
      <c r="AD93" s="232"/>
      <c r="AE93" s="232"/>
      <c r="AF93" s="232"/>
      <c r="AG93" s="232"/>
      <c r="AH93" s="232"/>
      <c r="AI93" s="232"/>
      <c r="AJ93" s="232"/>
      <c r="AK93" s="232"/>
      <c r="AL93" s="232"/>
    </row>
    <row r="94" spans="2:38" s="237" customFormat="1" x14ac:dyDescent="0.2">
      <c r="B94" s="411" t="s">
        <v>60</v>
      </c>
      <c r="C94" s="468"/>
      <c r="G94" s="535">
        <f t="shared" si="22"/>
        <v>1.2123162095121689</v>
      </c>
      <c r="H94" s="535">
        <f t="shared" si="22"/>
        <v>1.3679295982802633</v>
      </c>
      <c r="I94" s="535">
        <f t="shared" si="22"/>
        <v>0.11899577510562231</v>
      </c>
      <c r="J94" s="535">
        <f t="shared" si="22"/>
        <v>6.2342194104797244E-2</v>
      </c>
      <c r="K94" s="229"/>
      <c r="L94" s="229"/>
      <c r="M94" s="229"/>
      <c r="N94" s="229"/>
      <c r="O94" s="229"/>
      <c r="P94" s="229"/>
      <c r="Q94" s="229"/>
      <c r="R94" s="229"/>
      <c r="S94" s="229"/>
      <c r="T94" s="229"/>
      <c r="U94" s="229"/>
      <c r="V94" s="229"/>
      <c r="W94" s="229"/>
      <c r="X94" s="229"/>
      <c r="Y94" s="229"/>
      <c r="Z94" s="229"/>
      <c r="AA94" s="229"/>
      <c r="AB94" s="229"/>
      <c r="AC94" s="229"/>
      <c r="AD94" s="229"/>
      <c r="AE94" s="229"/>
      <c r="AF94" s="229"/>
      <c r="AG94" s="229"/>
      <c r="AH94" s="229"/>
      <c r="AI94" s="229"/>
      <c r="AJ94" s="229"/>
      <c r="AK94" s="229"/>
      <c r="AL94" s="229"/>
    </row>
    <row r="95" spans="2:38" x14ac:dyDescent="0.2">
      <c r="B95" s="226"/>
      <c r="C95" s="230"/>
      <c r="K95" s="232"/>
      <c r="L95" s="232"/>
      <c r="M95" s="232"/>
      <c r="N95" s="232"/>
      <c r="O95" s="232"/>
      <c r="P95" s="232"/>
      <c r="Q95" s="232"/>
      <c r="R95" s="232"/>
      <c r="S95" s="232"/>
      <c r="T95" s="232"/>
      <c r="U95" s="232"/>
      <c r="V95" s="232"/>
      <c r="W95" s="232"/>
      <c r="X95" s="232"/>
      <c r="Y95" s="232"/>
      <c r="Z95" s="232"/>
      <c r="AA95" s="232"/>
      <c r="AB95" s="232"/>
      <c r="AC95" s="232"/>
      <c r="AD95" s="232"/>
      <c r="AE95" s="232"/>
      <c r="AF95" s="232"/>
      <c r="AG95" s="232"/>
      <c r="AH95" s="232"/>
      <c r="AI95" s="232"/>
      <c r="AJ95" s="232"/>
      <c r="AK95" s="232"/>
      <c r="AL95" s="232"/>
    </row>
    <row r="96" spans="2:38" x14ac:dyDescent="0.2">
      <c r="B96" s="550" t="s">
        <v>62</v>
      </c>
      <c r="C96" s="230"/>
      <c r="K96" s="232"/>
      <c r="L96" s="232"/>
      <c r="M96" s="232"/>
      <c r="N96" s="232"/>
      <c r="O96" s="232"/>
      <c r="P96" s="232"/>
      <c r="Q96" s="232"/>
      <c r="R96" s="232"/>
      <c r="S96" s="232"/>
      <c r="T96" s="232"/>
      <c r="U96" s="232"/>
      <c r="V96" s="232"/>
      <c r="W96" s="232"/>
      <c r="X96" s="232"/>
      <c r="Y96" s="232"/>
      <c r="Z96" s="232"/>
      <c r="AA96" s="232"/>
      <c r="AB96" s="232"/>
      <c r="AC96" s="232"/>
      <c r="AD96" s="232"/>
      <c r="AE96" s="232"/>
      <c r="AF96" s="232"/>
      <c r="AG96" s="232"/>
      <c r="AH96" s="232"/>
      <c r="AI96" s="232"/>
      <c r="AJ96" s="232"/>
      <c r="AK96" s="232"/>
      <c r="AL96" s="232"/>
    </row>
    <row r="97" spans="1:38" x14ac:dyDescent="0.2">
      <c r="B97" s="226" t="s">
        <v>56</v>
      </c>
      <c r="C97" s="230"/>
      <c r="E97" s="300">
        <f t="shared" ref="E97:I100" si="23">E83/E$87</f>
        <v>1.9484487903080851E-2</v>
      </c>
      <c r="F97" s="300">
        <f t="shared" si="23"/>
        <v>0.28637646110439341</v>
      </c>
      <c r="G97" s="300">
        <f t="shared" si="23"/>
        <v>0.13259668508287292</v>
      </c>
      <c r="H97" s="300">
        <f t="shared" si="23"/>
        <v>0.20182132826463162</v>
      </c>
      <c r="I97" s="300">
        <f t="shared" si="23"/>
        <v>0.14024948085328842</v>
      </c>
      <c r="J97" s="300">
        <f t="shared" ref="J97" si="24">J83/J$87</f>
        <v>0.2186986767788712</v>
      </c>
      <c r="K97" s="232"/>
      <c r="L97" s="232"/>
      <c r="M97" s="232"/>
      <c r="N97" s="232"/>
      <c r="O97" s="232"/>
      <c r="P97" s="232"/>
      <c r="Q97" s="232"/>
      <c r="R97" s="232"/>
      <c r="S97" s="232"/>
      <c r="T97" s="232"/>
      <c r="U97" s="232"/>
      <c r="V97" s="232"/>
      <c r="W97" s="232"/>
      <c r="X97" s="232"/>
      <c r="Y97" s="232"/>
      <c r="Z97" s="232"/>
      <c r="AA97" s="232"/>
      <c r="AB97" s="232"/>
      <c r="AC97" s="232"/>
      <c r="AD97" s="232"/>
      <c r="AE97" s="232"/>
      <c r="AF97" s="232"/>
      <c r="AG97" s="232"/>
      <c r="AH97" s="232"/>
      <c r="AI97" s="232"/>
      <c r="AJ97" s="232"/>
      <c r="AK97" s="232"/>
      <c r="AL97" s="232"/>
    </row>
    <row r="98" spans="1:38" x14ac:dyDescent="0.2">
      <c r="B98" s="226" t="s">
        <v>57</v>
      </c>
      <c r="C98" s="230"/>
      <c r="E98" s="300">
        <f t="shared" si="23"/>
        <v>0.54984362080741989</v>
      </c>
      <c r="F98" s="300">
        <f t="shared" si="23"/>
        <v>0.34458551659277176</v>
      </c>
      <c r="G98" s="300">
        <f t="shared" si="23"/>
        <v>0.47096197595060124</v>
      </c>
      <c r="H98" s="300">
        <f t="shared" si="23"/>
        <v>0.40760021560895343</v>
      </c>
      <c r="I98" s="300">
        <f t="shared" si="23"/>
        <v>0.4776730610051842</v>
      </c>
      <c r="J98" s="300">
        <f t="shared" ref="J98" si="25">J84/J$87</f>
        <v>0.4433658686392587</v>
      </c>
      <c r="K98" s="232"/>
      <c r="L98" s="232"/>
      <c r="M98" s="232"/>
      <c r="N98" s="232"/>
      <c r="O98" s="232"/>
      <c r="P98" s="232"/>
      <c r="Q98" s="232"/>
      <c r="R98" s="232"/>
      <c r="S98" s="232"/>
      <c r="T98" s="232"/>
      <c r="U98" s="232"/>
      <c r="V98" s="232"/>
      <c r="W98" s="232"/>
      <c r="X98" s="232"/>
      <c r="Y98" s="232"/>
      <c r="Z98" s="232"/>
      <c r="AA98" s="232"/>
      <c r="AB98" s="232"/>
      <c r="AC98" s="232"/>
      <c r="AD98" s="232"/>
      <c r="AE98" s="232"/>
      <c r="AF98" s="232"/>
      <c r="AG98" s="232"/>
      <c r="AH98" s="232"/>
      <c r="AI98" s="232"/>
      <c r="AJ98" s="232"/>
      <c r="AK98" s="232"/>
      <c r="AL98" s="232"/>
    </row>
    <row r="99" spans="1:38" x14ac:dyDescent="0.2">
      <c r="B99" s="226" t="s">
        <v>58</v>
      </c>
      <c r="C99" s="230"/>
      <c r="E99" s="300">
        <f t="shared" si="23"/>
        <v>0.33684437574145309</v>
      </c>
      <c r="F99" s="300">
        <f t="shared" si="23"/>
        <v>0.29742711272336425</v>
      </c>
      <c r="G99" s="300">
        <f t="shared" si="23"/>
        <v>0.29658758531036722</v>
      </c>
      <c r="H99" s="300">
        <f t="shared" si="23"/>
        <v>0.29379556866861473</v>
      </c>
      <c r="I99" s="300">
        <f t="shared" si="23"/>
        <v>0.29670505205988701</v>
      </c>
      <c r="J99" s="300">
        <f t="shared" ref="J99" si="26">J85/J$87</f>
        <v>0.2678220928524695</v>
      </c>
      <c r="K99" s="232"/>
      <c r="L99" s="232"/>
      <c r="M99" s="232"/>
      <c r="N99" s="232"/>
      <c r="O99" s="232"/>
      <c r="P99" s="232"/>
      <c r="Q99" s="232"/>
      <c r="R99" s="232"/>
      <c r="S99" s="232"/>
      <c r="T99" s="232"/>
      <c r="U99" s="232"/>
      <c r="V99" s="232"/>
      <c r="W99" s="232"/>
      <c r="X99" s="232"/>
      <c r="Y99" s="232"/>
      <c r="Z99" s="232"/>
      <c r="AA99" s="232"/>
      <c r="AB99" s="232"/>
      <c r="AC99" s="232"/>
      <c r="AD99" s="232"/>
      <c r="AE99" s="232"/>
      <c r="AF99" s="232"/>
      <c r="AG99" s="232"/>
      <c r="AH99" s="232"/>
      <c r="AI99" s="232"/>
      <c r="AJ99" s="232"/>
      <c r="AK99" s="232"/>
      <c r="AL99" s="232"/>
    </row>
    <row r="100" spans="1:38" x14ac:dyDescent="0.2">
      <c r="B100" s="226" t="s">
        <v>59</v>
      </c>
      <c r="C100" s="230"/>
      <c r="E100" s="300">
        <f t="shared" si="23"/>
        <v>9.3827515548046164E-2</v>
      </c>
      <c r="F100" s="300">
        <f t="shared" si="23"/>
        <v>7.1610909579470639E-2</v>
      </c>
      <c r="G100" s="300">
        <f t="shared" si="23"/>
        <v>9.9853753656158589E-2</v>
      </c>
      <c r="H100" s="300">
        <f t="shared" si="23"/>
        <v>9.6782887457800226E-2</v>
      </c>
      <c r="I100" s="300">
        <f t="shared" si="23"/>
        <v>8.5372406081640359E-2</v>
      </c>
      <c r="J100" s="300">
        <f t="shared" ref="J100" si="27">J86/J$87</f>
        <v>7.0113361729400608E-2</v>
      </c>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c r="AG100" s="232"/>
      <c r="AH100" s="232"/>
      <c r="AI100" s="232"/>
      <c r="AJ100" s="232"/>
      <c r="AK100" s="232"/>
      <c r="AL100" s="232"/>
    </row>
    <row r="101" spans="1:38" x14ac:dyDescent="0.2">
      <c r="B101" s="226"/>
      <c r="C101" s="230"/>
      <c r="J101" s="232"/>
      <c r="K101" s="232"/>
      <c r="L101" s="232"/>
      <c r="M101" s="232"/>
      <c r="N101" s="232"/>
      <c r="O101" s="232"/>
      <c r="P101" s="232"/>
      <c r="Q101" s="232"/>
      <c r="R101" s="232"/>
      <c r="S101" s="232"/>
      <c r="T101" s="232"/>
      <c r="U101" s="232"/>
      <c r="V101" s="232"/>
      <c r="W101" s="232"/>
      <c r="X101" s="232"/>
      <c r="Y101" s="232"/>
      <c r="Z101" s="232"/>
      <c r="AA101" s="232"/>
      <c r="AB101" s="232"/>
      <c r="AC101" s="232"/>
      <c r="AD101" s="232"/>
      <c r="AE101" s="232"/>
      <c r="AF101" s="232"/>
      <c r="AG101" s="232"/>
      <c r="AH101" s="232"/>
      <c r="AI101" s="232"/>
      <c r="AJ101" s="232"/>
      <c r="AK101" s="232"/>
      <c r="AL101" s="232"/>
    </row>
    <row r="102" spans="1:38" s="242" customFormat="1" x14ac:dyDescent="0.2">
      <c r="A102" s="242" t="s">
        <v>7</v>
      </c>
      <c r="B102" s="243" t="s">
        <v>63</v>
      </c>
      <c r="C102" s="244"/>
      <c r="E102" s="245"/>
      <c r="F102" s="245"/>
      <c r="G102" s="245"/>
      <c r="H102" s="245"/>
      <c r="I102" s="245"/>
      <c r="J102" s="245"/>
      <c r="K102" s="245"/>
      <c r="L102" s="245"/>
      <c r="M102" s="245"/>
      <c r="N102" s="245"/>
      <c r="O102" s="245"/>
      <c r="P102" s="245"/>
      <c r="Q102" s="245"/>
      <c r="R102" s="245"/>
      <c r="S102" s="245"/>
      <c r="T102" s="245"/>
      <c r="U102" s="245"/>
      <c r="V102" s="245"/>
      <c r="W102" s="245"/>
      <c r="X102" s="245"/>
      <c r="Y102" s="245"/>
      <c r="Z102" s="245"/>
      <c r="AA102" s="245"/>
      <c r="AB102" s="245"/>
      <c r="AC102" s="245"/>
      <c r="AD102" s="245"/>
      <c r="AE102" s="245"/>
      <c r="AF102" s="245"/>
      <c r="AG102" s="245"/>
      <c r="AH102" s="245"/>
      <c r="AI102" s="245"/>
      <c r="AJ102" s="245"/>
      <c r="AK102" s="245"/>
      <c r="AL102" s="245"/>
    </row>
    <row r="103" spans="1:38" s="237" customFormat="1" outlineLevel="1" x14ac:dyDescent="0.2">
      <c r="B103" s="226"/>
      <c r="C103" s="241"/>
      <c r="D103" s="238"/>
      <c r="E103" s="240"/>
      <c r="F103" s="240"/>
      <c r="G103" s="299"/>
      <c r="H103" s="299"/>
      <c r="I103" s="299"/>
      <c r="J103" s="299"/>
      <c r="K103" s="299"/>
      <c r="L103" s="299"/>
      <c r="M103" s="299"/>
      <c r="N103" s="299"/>
      <c r="O103" s="299"/>
      <c r="P103" s="299"/>
      <c r="Q103" s="299"/>
      <c r="R103" s="299"/>
      <c r="S103" s="299"/>
      <c r="T103" s="299"/>
      <c r="U103" s="299"/>
      <c r="V103" s="299"/>
      <c r="W103" s="299"/>
      <c r="X103" s="299"/>
      <c r="Y103" s="299"/>
      <c r="Z103" s="299"/>
      <c r="AA103" s="299"/>
      <c r="AB103" s="299"/>
      <c r="AC103" s="299"/>
      <c r="AD103" s="299"/>
      <c r="AE103" s="299"/>
      <c r="AF103" s="299"/>
      <c r="AG103" s="299"/>
      <c r="AH103" s="299"/>
      <c r="AI103" s="299"/>
      <c r="AJ103" s="299"/>
      <c r="AK103" s="299"/>
      <c r="AL103" s="299"/>
    </row>
    <row r="104" spans="1:38" s="237" customFormat="1" outlineLevel="1" x14ac:dyDescent="0.2">
      <c r="A104" s="218"/>
      <c r="B104" s="246" t="s">
        <v>64</v>
      </c>
      <c r="C104" s="247"/>
      <c r="D104" s="21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248"/>
      <c r="AH104" s="248"/>
      <c r="AI104" s="248"/>
      <c r="AJ104" s="248"/>
      <c r="AK104" s="248"/>
      <c r="AL104" s="248"/>
    </row>
    <row r="105" spans="1:38" s="237" customFormat="1" outlineLevel="1" x14ac:dyDescent="0.2">
      <c r="B105" s="410" t="s">
        <v>65</v>
      </c>
      <c r="C105" s="241" t="s">
        <v>37</v>
      </c>
      <c r="D105" s="238"/>
      <c r="E105" s="257">
        <v>298.8</v>
      </c>
      <c r="F105" s="257">
        <f>591.5-E105</f>
        <v>292.7</v>
      </c>
      <c r="G105" s="257">
        <v>645.1</v>
      </c>
      <c r="H105" s="257">
        <f>1420.4-G105</f>
        <v>775.30000000000007</v>
      </c>
      <c r="I105" s="257">
        <v>807.3</v>
      </c>
      <c r="J105" s="257">
        <f>1594.7-I105</f>
        <v>787.40000000000009</v>
      </c>
      <c r="K105" s="229">
        <f t="shared" ref="K105:AL105" si="28">K64</f>
        <v>888.03</v>
      </c>
      <c r="L105" s="229">
        <f t="shared" si="28"/>
        <v>834.64400000000012</v>
      </c>
      <c r="M105" s="229">
        <f t="shared" si="28"/>
        <v>932.43150000000003</v>
      </c>
      <c r="N105" s="229">
        <f t="shared" si="28"/>
        <v>876.37620000000015</v>
      </c>
      <c r="O105" s="229">
        <f t="shared" si="28"/>
        <v>979.05307500000004</v>
      </c>
      <c r="P105" s="229">
        <f t="shared" si="28"/>
        <v>920.19501000000025</v>
      </c>
      <c r="Q105" s="229">
        <f t="shared" si="28"/>
        <v>1028.0057287500001</v>
      </c>
      <c r="R105" s="229">
        <f t="shared" si="28"/>
        <v>966.20476050000036</v>
      </c>
      <c r="S105" s="229">
        <f t="shared" si="28"/>
        <v>1079.4060151875001</v>
      </c>
      <c r="T105" s="229">
        <f t="shared" si="28"/>
        <v>1014.5149985250005</v>
      </c>
      <c r="U105" s="229">
        <f t="shared" si="28"/>
        <v>1133.3763159468751</v>
      </c>
      <c r="V105" s="229">
        <f t="shared" si="28"/>
        <v>1065.2407484512505</v>
      </c>
      <c r="W105" s="229">
        <f t="shared" si="28"/>
        <v>1190.0451317442189</v>
      </c>
      <c r="X105" s="229">
        <f t="shared" si="28"/>
        <v>1118.5027858738131</v>
      </c>
      <c r="Y105" s="229">
        <f t="shared" si="28"/>
        <v>1249.5473883314298</v>
      </c>
      <c r="Z105" s="229">
        <f t="shared" si="28"/>
        <v>1174.4279251675039</v>
      </c>
      <c r="AA105" s="229">
        <f t="shared" si="28"/>
        <v>1312.0247577480013</v>
      </c>
      <c r="AB105" s="229">
        <f t="shared" si="28"/>
        <v>1233.1493214258792</v>
      </c>
      <c r="AC105" s="229">
        <f t="shared" si="28"/>
        <v>1377.6259956354015</v>
      </c>
      <c r="AD105" s="229">
        <f t="shared" si="28"/>
        <v>1294.8067874971732</v>
      </c>
      <c r="AE105" s="229">
        <f t="shared" si="28"/>
        <v>1446.5072954171717</v>
      </c>
      <c r="AF105" s="229">
        <f t="shared" si="28"/>
        <v>1359.5471268720319</v>
      </c>
      <c r="AG105" s="229">
        <f t="shared" si="28"/>
        <v>1518.8326601880303</v>
      </c>
      <c r="AH105" s="229">
        <f t="shared" si="28"/>
        <v>1427.5244832156336</v>
      </c>
      <c r="AI105" s="229">
        <f t="shared" si="28"/>
        <v>1594.7742931974319</v>
      </c>
      <c r="AJ105" s="229">
        <f t="shared" si="28"/>
        <v>1498.9007073764153</v>
      </c>
      <c r="AK105" s="229">
        <f t="shared" si="28"/>
        <v>1674.5130078573036</v>
      </c>
      <c r="AL105" s="229">
        <f t="shared" si="28"/>
        <v>1573.8457427452361</v>
      </c>
    </row>
    <row r="106" spans="1:38" s="237" customFormat="1" outlineLevel="1" x14ac:dyDescent="0.2">
      <c r="B106" s="413" t="s">
        <v>66</v>
      </c>
      <c r="C106" s="235" t="s">
        <v>37</v>
      </c>
      <c r="D106" s="238"/>
      <c r="E106" s="231">
        <v>-258.8</v>
      </c>
      <c r="F106" s="231">
        <f>-511.7-E106</f>
        <v>-252.89999999999998</v>
      </c>
      <c r="G106" s="231">
        <v>-553.79999999999995</v>
      </c>
      <c r="H106" s="231">
        <f>-1224.2-G106</f>
        <v>-670.40000000000009</v>
      </c>
      <c r="I106" s="231">
        <v>-699.1</v>
      </c>
      <c r="J106" s="231">
        <f>-1379-I106</f>
        <v>-679.9</v>
      </c>
      <c r="K106" s="232">
        <f t="shared" ref="K106:AL106" si="29">K108-K105</f>
        <v>-761.92974000000004</v>
      </c>
      <c r="L106" s="232">
        <f t="shared" si="29"/>
        <v>-717.79384000000005</v>
      </c>
      <c r="M106" s="232">
        <f t="shared" si="29"/>
        <v>-800.02622700000006</v>
      </c>
      <c r="N106" s="232">
        <f t="shared" si="29"/>
        <v>-753.68353200000013</v>
      </c>
      <c r="O106" s="232">
        <f t="shared" si="29"/>
        <v>-840.02753834999999</v>
      </c>
      <c r="P106" s="232">
        <f t="shared" si="29"/>
        <v>-791.36770860000024</v>
      </c>
      <c r="Q106" s="232">
        <f t="shared" si="29"/>
        <v>-882.02891526750011</v>
      </c>
      <c r="R106" s="232">
        <f t="shared" si="29"/>
        <v>-830.93609403000028</v>
      </c>
      <c r="S106" s="232">
        <f t="shared" si="29"/>
        <v>-926.13036103087506</v>
      </c>
      <c r="T106" s="232">
        <f t="shared" si="29"/>
        <v>-872.48289873150043</v>
      </c>
      <c r="U106" s="232">
        <f t="shared" si="29"/>
        <v>-972.43687908241884</v>
      </c>
      <c r="V106" s="232">
        <f t="shared" si="29"/>
        <v>-916.10704366807545</v>
      </c>
      <c r="W106" s="232">
        <f t="shared" si="29"/>
        <v>-1021.0587230365398</v>
      </c>
      <c r="X106" s="232">
        <f t="shared" si="29"/>
        <v>-961.91239585147923</v>
      </c>
      <c r="Y106" s="232">
        <f t="shared" si="29"/>
        <v>-1072.1116591883667</v>
      </c>
      <c r="Z106" s="232">
        <f t="shared" si="29"/>
        <v>-1010.0080156440533</v>
      </c>
      <c r="AA106" s="232">
        <f t="shared" si="29"/>
        <v>-1125.7172421477851</v>
      </c>
      <c r="AB106" s="232">
        <f t="shared" si="29"/>
        <v>-1060.5084164262562</v>
      </c>
      <c r="AC106" s="232">
        <f t="shared" si="29"/>
        <v>-1182.0031042551745</v>
      </c>
      <c r="AD106" s="232">
        <f t="shared" si="29"/>
        <v>-1113.533837247569</v>
      </c>
      <c r="AE106" s="232">
        <f t="shared" si="29"/>
        <v>-1241.1032594679334</v>
      </c>
      <c r="AF106" s="232">
        <f t="shared" si="29"/>
        <v>-1169.2105291099474</v>
      </c>
      <c r="AG106" s="232">
        <f t="shared" si="29"/>
        <v>-1303.15842244133</v>
      </c>
      <c r="AH106" s="232">
        <f t="shared" si="29"/>
        <v>-1227.6710555654449</v>
      </c>
      <c r="AI106" s="232">
        <f t="shared" si="29"/>
        <v>-1368.3163435633967</v>
      </c>
      <c r="AJ106" s="232">
        <f t="shared" si="29"/>
        <v>-1289.0546083437171</v>
      </c>
      <c r="AK106" s="232">
        <f t="shared" si="29"/>
        <v>-1436.7321607415665</v>
      </c>
      <c r="AL106" s="232">
        <f t="shared" si="29"/>
        <v>-1353.5073387609029</v>
      </c>
    </row>
    <row r="107" spans="1:38" outlineLevel="1" x14ac:dyDescent="0.2">
      <c r="B107" s="270" t="s">
        <v>67</v>
      </c>
      <c r="C107" s="252" t="s">
        <v>67</v>
      </c>
      <c r="D107" s="253"/>
      <c r="E107" s="254" t="s">
        <v>67</v>
      </c>
      <c r="F107" s="254" t="s">
        <v>67</v>
      </c>
      <c r="G107" s="254" t="s">
        <v>67</v>
      </c>
      <c r="H107" s="254" t="s">
        <v>67</v>
      </c>
      <c r="I107" s="254" t="s">
        <v>67</v>
      </c>
      <c r="J107" s="254" t="s">
        <v>67</v>
      </c>
      <c r="K107" s="254" t="s">
        <v>67</v>
      </c>
      <c r="L107" s="254" t="s">
        <v>67</v>
      </c>
      <c r="M107" s="254" t="s">
        <v>67</v>
      </c>
      <c r="N107" s="254" t="s">
        <v>67</v>
      </c>
      <c r="O107" s="254" t="s">
        <v>67</v>
      </c>
      <c r="P107" s="254" t="s">
        <v>67</v>
      </c>
      <c r="Q107" s="254" t="s">
        <v>67</v>
      </c>
      <c r="R107" s="254" t="s">
        <v>67</v>
      </c>
      <c r="S107" s="254" t="s">
        <v>67</v>
      </c>
      <c r="T107" s="254" t="s">
        <v>67</v>
      </c>
      <c r="U107" s="254" t="s">
        <v>67</v>
      </c>
      <c r="V107" s="254" t="s">
        <v>67</v>
      </c>
      <c r="W107" s="254" t="s">
        <v>67</v>
      </c>
      <c r="X107" s="254" t="s">
        <v>67</v>
      </c>
      <c r="Y107" s="254" t="s">
        <v>67</v>
      </c>
      <c r="Z107" s="254" t="s">
        <v>67</v>
      </c>
      <c r="AA107" s="254" t="s">
        <v>67</v>
      </c>
      <c r="AB107" s="254" t="s">
        <v>67</v>
      </c>
      <c r="AC107" s="254" t="s">
        <v>67</v>
      </c>
      <c r="AD107" s="254" t="s">
        <v>67</v>
      </c>
      <c r="AE107" s="254" t="s">
        <v>67</v>
      </c>
      <c r="AF107" s="254" t="s">
        <v>67</v>
      </c>
      <c r="AG107" s="254" t="s">
        <v>67</v>
      </c>
      <c r="AH107" s="254" t="s">
        <v>67</v>
      </c>
      <c r="AI107" s="254" t="s">
        <v>67</v>
      </c>
      <c r="AJ107" s="254" t="s">
        <v>67</v>
      </c>
      <c r="AK107" s="254" t="s">
        <v>67</v>
      </c>
      <c r="AL107" s="254" t="s">
        <v>67</v>
      </c>
    </row>
    <row r="108" spans="1:38" s="237" customFormat="1" outlineLevel="1" x14ac:dyDescent="0.2">
      <c r="B108" s="410" t="s">
        <v>68</v>
      </c>
      <c r="C108" s="241" t="s">
        <v>37</v>
      </c>
      <c r="D108" s="238"/>
      <c r="E108" s="257">
        <v>40</v>
      </c>
      <c r="F108" s="257">
        <f>79.8-E108</f>
        <v>39.799999999999997</v>
      </c>
      <c r="G108" s="257">
        <v>91.3</v>
      </c>
      <c r="H108" s="257">
        <f>196.2-G108</f>
        <v>104.89999999999999</v>
      </c>
      <c r="I108" s="257">
        <v>108.3</v>
      </c>
      <c r="J108" s="257">
        <f>215.7-I108</f>
        <v>107.39999999999999</v>
      </c>
      <c r="K108" s="229">
        <f t="shared" ref="K108:AL108" si="30">K68</f>
        <v>126.10025999999999</v>
      </c>
      <c r="L108" s="229">
        <f t="shared" si="30"/>
        <v>116.85016000000003</v>
      </c>
      <c r="M108" s="229">
        <f t="shared" si="30"/>
        <v>132.40527299999999</v>
      </c>
      <c r="N108" s="229">
        <f t="shared" si="30"/>
        <v>122.69266800000004</v>
      </c>
      <c r="O108" s="229">
        <f t="shared" si="30"/>
        <v>139.02553664999999</v>
      </c>
      <c r="P108" s="229">
        <f t="shared" si="30"/>
        <v>128.82730140000004</v>
      </c>
      <c r="Q108" s="229">
        <f t="shared" si="30"/>
        <v>145.97681348250001</v>
      </c>
      <c r="R108" s="229">
        <f t="shared" si="30"/>
        <v>135.26866647000006</v>
      </c>
      <c r="S108" s="229">
        <f t="shared" si="30"/>
        <v>153.275654156625</v>
      </c>
      <c r="T108" s="229">
        <f t="shared" si="30"/>
        <v>142.03209979350007</v>
      </c>
      <c r="U108" s="229">
        <f t="shared" si="30"/>
        <v>160.93943686445627</v>
      </c>
      <c r="V108" s="229">
        <f t="shared" si="30"/>
        <v>149.13370478317509</v>
      </c>
      <c r="W108" s="229">
        <f t="shared" si="30"/>
        <v>168.98640870767906</v>
      </c>
      <c r="X108" s="229">
        <f t="shared" si="30"/>
        <v>156.59039002233385</v>
      </c>
      <c r="Y108" s="229">
        <f t="shared" si="30"/>
        <v>177.43572914306301</v>
      </c>
      <c r="Z108" s="229">
        <f t="shared" si="30"/>
        <v>164.41990952345057</v>
      </c>
      <c r="AA108" s="229">
        <f t="shared" si="30"/>
        <v>186.30751560021616</v>
      </c>
      <c r="AB108" s="229">
        <f t="shared" si="30"/>
        <v>172.6409049996231</v>
      </c>
      <c r="AC108" s="229">
        <f t="shared" si="30"/>
        <v>195.622891380227</v>
      </c>
      <c r="AD108" s="229">
        <f t="shared" si="30"/>
        <v>181.27295024960426</v>
      </c>
      <c r="AE108" s="229">
        <f t="shared" si="30"/>
        <v>205.40403594923836</v>
      </c>
      <c r="AF108" s="229">
        <f t="shared" si="30"/>
        <v>190.33659776208447</v>
      </c>
      <c r="AG108" s="229">
        <f t="shared" si="30"/>
        <v>215.6742377467003</v>
      </c>
      <c r="AH108" s="229">
        <f t="shared" si="30"/>
        <v>199.85342765018873</v>
      </c>
      <c r="AI108" s="229">
        <f t="shared" si="30"/>
        <v>226.45794963403532</v>
      </c>
      <c r="AJ108" s="229">
        <f t="shared" si="30"/>
        <v>209.84609903269816</v>
      </c>
      <c r="AK108" s="229">
        <f t="shared" si="30"/>
        <v>237.78084711573709</v>
      </c>
      <c r="AL108" s="229">
        <f t="shared" si="30"/>
        <v>220.33840398433307</v>
      </c>
    </row>
    <row r="109" spans="1:38" s="237" customFormat="1" outlineLevel="1" x14ac:dyDescent="0.2">
      <c r="B109" s="413" t="s">
        <v>69</v>
      </c>
      <c r="C109" s="235" t="s">
        <v>37</v>
      </c>
      <c r="D109" s="238"/>
      <c r="E109" s="231">
        <v>-9.3000000000000007</v>
      </c>
      <c r="F109" s="231">
        <f>-16.5-E109</f>
        <v>-7.1999999999999993</v>
      </c>
      <c r="G109" s="231">
        <v>-21.4</v>
      </c>
      <c r="H109" s="231">
        <f>-48.4-G109</f>
        <v>-27</v>
      </c>
      <c r="I109" s="231">
        <v>-32.5</v>
      </c>
      <c r="J109" s="231">
        <f>-55.8-I109</f>
        <v>-23.299999999999997</v>
      </c>
      <c r="K109" s="232">
        <f t="shared" ref="K109:AL109" si="31">K71</f>
        <v>-33.745139999999999</v>
      </c>
      <c r="L109" s="232">
        <f t="shared" si="31"/>
        <v>-25.873964000000004</v>
      </c>
      <c r="M109" s="232">
        <f t="shared" si="31"/>
        <v>-35.432397000000002</v>
      </c>
      <c r="N109" s="232">
        <f t="shared" si="31"/>
        <v>-27.167662200000006</v>
      </c>
      <c r="O109" s="232">
        <f t="shared" si="31"/>
        <v>-37.204016850000002</v>
      </c>
      <c r="P109" s="232">
        <f t="shared" si="31"/>
        <v>-28.526045310000008</v>
      </c>
      <c r="Q109" s="232">
        <f t="shared" si="31"/>
        <v>-39.064217692500002</v>
      </c>
      <c r="R109" s="232">
        <f t="shared" si="31"/>
        <v>-29.95234757550001</v>
      </c>
      <c r="S109" s="232">
        <f t="shared" si="31"/>
        <v>-41.017428577125003</v>
      </c>
      <c r="T109" s="232">
        <f t="shared" si="31"/>
        <v>-31.449964954275014</v>
      </c>
      <c r="U109" s="232">
        <f t="shared" si="31"/>
        <v>-43.068300005981257</v>
      </c>
      <c r="V109" s="232">
        <f t="shared" si="31"/>
        <v>-33.022463201988764</v>
      </c>
      <c r="W109" s="232">
        <f t="shared" si="31"/>
        <v>-45.22171500628032</v>
      </c>
      <c r="X109" s="232">
        <f t="shared" si="31"/>
        <v>-34.673586362088209</v>
      </c>
      <c r="Y109" s="232">
        <f t="shared" si="31"/>
        <v>-47.48280075659433</v>
      </c>
      <c r="Z109" s="232">
        <f t="shared" si="31"/>
        <v>-36.407265680192623</v>
      </c>
      <c r="AA109" s="232">
        <f t="shared" si="31"/>
        <v>-49.856940794424048</v>
      </c>
      <c r="AB109" s="232">
        <f t="shared" si="31"/>
        <v>-38.227628964202253</v>
      </c>
      <c r="AC109" s="232">
        <f t="shared" si="31"/>
        <v>-52.349787834145253</v>
      </c>
      <c r="AD109" s="232">
        <f t="shared" si="31"/>
        <v>-40.139010412412368</v>
      </c>
      <c r="AE109" s="232">
        <f t="shared" si="31"/>
        <v>-54.96727722585252</v>
      </c>
      <c r="AF109" s="232">
        <f t="shared" si="31"/>
        <v>-42.145960933032988</v>
      </c>
      <c r="AG109" s="232">
        <f t="shared" si="31"/>
        <v>-57.715641087145151</v>
      </c>
      <c r="AH109" s="232">
        <f t="shared" si="31"/>
        <v>-44.253258979684638</v>
      </c>
      <c r="AI109" s="232">
        <f t="shared" si="31"/>
        <v>-60.601423141502408</v>
      </c>
      <c r="AJ109" s="232">
        <f t="shared" si="31"/>
        <v>-46.465921928668877</v>
      </c>
      <c r="AK109" s="232">
        <f t="shared" si="31"/>
        <v>-63.631494298577536</v>
      </c>
      <c r="AL109" s="232">
        <f t="shared" si="31"/>
        <v>-48.789218025102315</v>
      </c>
    </row>
    <row r="110" spans="1:38" s="237" customFormat="1" outlineLevel="1" x14ac:dyDescent="0.2">
      <c r="B110" s="413" t="s">
        <v>70</v>
      </c>
      <c r="C110" s="235" t="s">
        <v>37</v>
      </c>
      <c r="D110" s="238"/>
      <c r="E110" s="231">
        <v>-2.8</v>
      </c>
      <c r="F110" s="231">
        <f>-5.7-E110</f>
        <v>-2.9000000000000004</v>
      </c>
      <c r="G110" s="231">
        <v>-6.3</v>
      </c>
      <c r="H110" s="231">
        <f>-13.2-G110</f>
        <v>-6.8999999999999995</v>
      </c>
      <c r="I110" s="231">
        <v>-6.9</v>
      </c>
      <c r="J110" s="231">
        <f>-14.5-I110</f>
        <v>-7.6</v>
      </c>
      <c r="K110" s="232">
        <f t="shared" ref="K110:AL110" si="32">(K108+K109)*-1/11</f>
        <v>-8.3959200000000003</v>
      </c>
      <c r="L110" s="232">
        <f t="shared" si="32"/>
        <v>-8.2705632727272747</v>
      </c>
      <c r="M110" s="232">
        <f t="shared" si="32"/>
        <v>-8.8157159999999983</v>
      </c>
      <c r="N110" s="232">
        <f t="shared" si="32"/>
        <v>-8.684091436363639</v>
      </c>
      <c r="O110" s="232">
        <f t="shared" si="32"/>
        <v>-9.2565017999999988</v>
      </c>
      <c r="P110" s="232">
        <f t="shared" si="32"/>
        <v>-9.1182960081818223</v>
      </c>
      <c r="Q110" s="232">
        <f t="shared" si="32"/>
        <v>-9.7193268900000014</v>
      </c>
      <c r="R110" s="232">
        <f t="shared" si="32"/>
        <v>-9.5742108085909123</v>
      </c>
      <c r="S110" s="232">
        <f t="shared" si="32"/>
        <v>-10.205293234499999</v>
      </c>
      <c r="T110" s="232">
        <f t="shared" si="32"/>
        <v>-10.052921349020458</v>
      </c>
      <c r="U110" s="232">
        <f t="shared" si="32"/>
        <v>-10.715557896225</v>
      </c>
      <c r="V110" s="232">
        <f t="shared" si="32"/>
        <v>-10.555567416471485</v>
      </c>
      <c r="W110" s="232">
        <f t="shared" si="32"/>
        <v>-11.251335791036249</v>
      </c>
      <c r="X110" s="232">
        <f t="shared" si="32"/>
        <v>-11.083345787295059</v>
      </c>
      <c r="Y110" s="232">
        <f t="shared" si="32"/>
        <v>-11.813902580588062</v>
      </c>
      <c r="Z110" s="232">
        <f t="shared" si="32"/>
        <v>-11.637513076659813</v>
      </c>
      <c r="AA110" s="232">
        <f t="shared" si="32"/>
        <v>-12.404597709617464</v>
      </c>
      <c r="AB110" s="232">
        <f t="shared" si="32"/>
        <v>-12.219388730492803</v>
      </c>
      <c r="AC110" s="232">
        <f t="shared" si="32"/>
        <v>-13.024827595098342</v>
      </c>
      <c r="AD110" s="232">
        <f t="shared" si="32"/>
        <v>-12.830358167017444</v>
      </c>
      <c r="AE110" s="232">
        <f t="shared" si="32"/>
        <v>-13.676068974853258</v>
      </c>
      <c r="AF110" s="232">
        <f t="shared" si="32"/>
        <v>-13.471876075368316</v>
      </c>
      <c r="AG110" s="232">
        <f t="shared" si="32"/>
        <v>-14.359872423595924</v>
      </c>
      <c r="AH110" s="232">
        <f t="shared" si="32"/>
        <v>-14.145469879136737</v>
      </c>
      <c r="AI110" s="232">
        <f t="shared" si="32"/>
        <v>-15.077866044775719</v>
      </c>
      <c r="AJ110" s="232">
        <f t="shared" si="32"/>
        <v>-14.852743373093572</v>
      </c>
      <c r="AK110" s="232">
        <f t="shared" si="32"/>
        <v>-15.831759347014504</v>
      </c>
      <c r="AL110" s="232">
        <f t="shared" si="32"/>
        <v>-15.59538054174825</v>
      </c>
    </row>
    <row r="111" spans="1:38" outlineLevel="1" x14ac:dyDescent="0.2">
      <c r="B111" s="270" t="s">
        <v>67</v>
      </c>
      <c r="C111" s="252" t="s">
        <v>67</v>
      </c>
      <c r="D111" s="253"/>
      <c r="E111" s="254" t="s">
        <v>67</v>
      </c>
      <c r="F111" s="254" t="s">
        <v>67</v>
      </c>
      <c r="G111" s="254" t="s">
        <v>67</v>
      </c>
      <c r="H111" s="254" t="s">
        <v>67</v>
      </c>
      <c r="I111" s="254" t="s">
        <v>67</v>
      </c>
      <c r="J111" s="254" t="s">
        <v>67</v>
      </c>
      <c r="K111" s="254" t="s">
        <v>67</v>
      </c>
      <c r="L111" s="254" t="s">
        <v>67</v>
      </c>
      <c r="M111" s="254" t="s">
        <v>67</v>
      </c>
      <c r="N111" s="254" t="s">
        <v>67</v>
      </c>
      <c r="O111" s="254" t="s">
        <v>67</v>
      </c>
      <c r="P111" s="254" t="s">
        <v>67</v>
      </c>
      <c r="Q111" s="254" t="s">
        <v>67</v>
      </c>
      <c r="R111" s="254" t="s">
        <v>67</v>
      </c>
      <c r="S111" s="254" t="s">
        <v>67</v>
      </c>
      <c r="T111" s="254" t="s">
        <v>67</v>
      </c>
      <c r="U111" s="254" t="s">
        <v>67</v>
      </c>
      <c r="V111" s="254" t="s">
        <v>67</v>
      </c>
      <c r="W111" s="254" t="s">
        <v>67</v>
      </c>
      <c r="X111" s="254" t="s">
        <v>67</v>
      </c>
      <c r="Y111" s="254" t="s">
        <v>67</v>
      </c>
      <c r="Z111" s="254" t="s">
        <v>67</v>
      </c>
      <c r="AA111" s="254" t="s">
        <v>67</v>
      </c>
      <c r="AB111" s="254" t="s">
        <v>67</v>
      </c>
      <c r="AC111" s="254" t="s">
        <v>67</v>
      </c>
      <c r="AD111" s="254" t="s">
        <v>67</v>
      </c>
      <c r="AE111" s="254" t="s">
        <v>67</v>
      </c>
      <c r="AF111" s="254" t="s">
        <v>67</v>
      </c>
      <c r="AG111" s="254" t="s">
        <v>67</v>
      </c>
      <c r="AH111" s="254" t="s">
        <v>67</v>
      </c>
      <c r="AI111" s="254" t="s">
        <v>67</v>
      </c>
      <c r="AJ111" s="254" t="s">
        <v>67</v>
      </c>
      <c r="AK111" s="254" t="s">
        <v>67</v>
      </c>
      <c r="AL111" s="254" t="s">
        <v>67</v>
      </c>
    </row>
    <row r="112" spans="1:38" s="237" customFormat="1" outlineLevel="1" x14ac:dyDescent="0.2">
      <c r="B112" s="410" t="s">
        <v>60</v>
      </c>
      <c r="C112" s="241" t="s">
        <v>37</v>
      </c>
      <c r="D112" s="238"/>
      <c r="E112" s="257">
        <v>27.9</v>
      </c>
      <c r="F112" s="257">
        <f>57.6-E112</f>
        <v>29.700000000000003</v>
      </c>
      <c r="G112" s="257">
        <v>63.6</v>
      </c>
      <c r="H112" s="257">
        <f>134.6-G112</f>
        <v>71</v>
      </c>
      <c r="I112" s="257">
        <v>68.900000000000006</v>
      </c>
      <c r="J112" s="257">
        <f>145.4-I112</f>
        <v>76.5</v>
      </c>
      <c r="K112" s="229">
        <f t="shared" ref="K112:AL112" si="33">SUM(K108:K111)</f>
        <v>83.959199999999996</v>
      </c>
      <c r="L112" s="229">
        <f t="shared" si="33"/>
        <v>82.705632727272757</v>
      </c>
      <c r="M112" s="229">
        <f t="shared" si="33"/>
        <v>88.15715999999999</v>
      </c>
      <c r="N112" s="229">
        <f t="shared" si="33"/>
        <v>86.840914363636386</v>
      </c>
      <c r="O112" s="229">
        <f t="shared" si="33"/>
        <v>92.565017999999995</v>
      </c>
      <c r="P112" s="229">
        <f t="shared" si="33"/>
        <v>91.182960081818209</v>
      </c>
      <c r="Q112" s="229">
        <f t="shared" si="33"/>
        <v>97.193268900000007</v>
      </c>
      <c r="R112" s="229">
        <f t="shared" si="33"/>
        <v>95.742108085909138</v>
      </c>
      <c r="S112" s="229">
        <f t="shared" si="33"/>
        <v>102.05293234499999</v>
      </c>
      <c r="T112" s="229">
        <f t="shared" si="33"/>
        <v>100.5292134902046</v>
      </c>
      <c r="U112" s="229">
        <f t="shared" si="33"/>
        <v>107.15557896225002</v>
      </c>
      <c r="V112" s="229">
        <f t="shared" si="33"/>
        <v>105.55567416471484</v>
      </c>
      <c r="W112" s="229">
        <f t="shared" si="33"/>
        <v>112.51335791036249</v>
      </c>
      <c r="X112" s="229">
        <f t="shared" si="33"/>
        <v>110.83345787295059</v>
      </c>
      <c r="Y112" s="229">
        <f t="shared" si="33"/>
        <v>118.13902580588061</v>
      </c>
      <c r="Z112" s="229">
        <f t="shared" si="33"/>
        <v>116.37513076659812</v>
      </c>
      <c r="AA112" s="229">
        <f t="shared" si="33"/>
        <v>124.04597709617465</v>
      </c>
      <c r="AB112" s="229">
        <f t="shared" si="33"/>
        <v>122.19388730492804</v>
      </c>
      <c r="AC112" s="229">
        <f t="shared" si="33"/>
        <v>130.24827595098341</v>
      </c>
      <c r="AD112" s="229">
        <f t="shared" si="33"/>
        <v>128.30358167017445</v>
      </c>
      <c r="AE112" s="229">
        <f t="shared" si="33"/>
        <v>136.7606897485326</v>
      </c>
      <c r="AF112" s="229">
        <f t="shared" si="33"/>
        <v>134.71876075368314</v>
      </c>
      <c r="AG112" s="229">
        <f t="shared" si="33"/>
        <v>143.59872423595922</v>
      </c>
      <c r="AH112" s="229">
        <f t="shared" si="33"/>
        <v>141.45469879136738</v>
      </c>
      <c r="AI112" s="229">
        <f t="shared" si="33"/>
        <v>150.77866044775718</v>
      </c>
      <c r="AJ112" s="229">
        <f t="shared" si="33"/>
        <v>148.52743373093571</v>
      </c>
      <c r="AK112" s="229">
        <f t="shared" si="33"/>
        <v>158.31759347014506</v>
      </c>
      <c r="AL112" s="229">
        <f t="shared" si="33"/>
        <v>155.9538054174825</v>
      </c>
    </row>
    <row r="113" spans="1:38" s="237" customFormat="1" outlineLevel="1" x14ac:dyDescent="0.2">
      <c r="B113" s="413" t="s">
        <v>71</v>
      </c>
      <c r="C113" s="235" t="s">
        <v>37</v>
      </c>
      <c r="D113" s="238"/>
      <c r="E113" s="231">
        <v>-12.8</v>
      </c>
      <c r="F113" s="231">
        <f>-26.8-E113</f>
        <v>-14</v>
      </c>
      <c r="G113" s="231">
        <v>-33.700000000000003</v>
      </c>
      <c r="H113" s="231">
        <f>-73.4-G113</f>
        <v>-39.700000000000003</v>
      </c>
      <c r="I113" s="231">
        <v>-43</v>
      </c>
      <c r="J113" s="231">
        <f>-84.9-I113</f>
        <v>-41.900000000000006</v>
      </c>
      <c r="K113" s="232">
        <f t="shared" ref="K113:AL113" si="34">K203</f>
        <v>-49.291071400000007</v>
      </c>
      <c r="L113" s="232">
        <f t="shared" si="34"/>
        <v>-46.555655920000014</v>
      </c>
      <c r="M113" s="232">
        <f t="shared" si="34"/>
        <v>-50.725895519999995</v>
      </c>
      <c r="N113" s="232">
        <f t="shared" si="34"/>
        <v>-48.658438716000013</v>
      </c>
      <c r="O113" s="232">
        <f t="shared" si="34"/>
        <v>-53.256190296</v>
      </c>
      <c r="P113" s="232">
        <f t="shared" si="34"/>
        <v>-51.085360651800016</v>
      </c>
      <c r="Q113" s="232">
        <f t="shared" si="34"/>
        <v>-55.912819810800002</v>
      </c>
      <c r="R113" s="232">
        <f t="shared" si="34"/>
        <v>-53.633448684390018</v>
      </c>
      <c r="S113" s="232">
        <f t="shared" si="34"/>
        <v>-58.702095401340003</v>
      </c>
      <c r="T113" s="232">
        <f t="shared" si="34"/>
        <v>-56.308755718609525</v>
      </c>
      <c r="U113" s="232">
        <f t="shared" si="34"/>
        <v>-61.630643809407012</v>
      </c>
      <c r="V113" s="232">
        <f t="shared" si="34"/>
        <v>-59.117637142540012</v>
      </c>
      <c r="W113" s="232">
        <f t="shared" si="34"/>
        <v>-64.705422947017354</v>
      </c>
      <c r="X113" s="232">
        <f t="shared" si="34"/>
        <v>-62.066765946807017</v>
      </c>
      <c r="Y113" s="232">
        <f t="shared" si="34"/>
        <v>-67.93373844992243</v>
      </c>
      <c r="Z113" s="232">
        <f t="shared" si="34"/>
        <v>-65.163148599701572</v>
      </c>
      <c r="AA113" s="232">
        <f t="shared" si="34"/>
        <v>-71.32326105863936</v>
      </c>
      <c r="AB113" s="232">
        <f t="shared" si="34"/>
        <v>-68.414141715907476</v>
      </c>
      <c r="AC113" s="232">
        <f t="shared" si="34"/>
        <v>-74.882044868378799</v>
      </c>
      <c r="AD113" s="232">
        <f t="shared" si="34"/>
        <v>-71.827469558510302</v>
      </c>
      <c r="AE113" s="232">
        <f t="shared" si="34"/>
        <v>-78.618546491309417</v>
      </c>
      <c r="AF113" s="232">
        <f t="shared" si="34"/>
        <v>-75.411242415947498</v>
      </c>
      <c r="AG113" s="232">
        <f t="shared" si="34"/>
        <v>-82.541645176771937</v>
      </c>
      <c r="AH113" s="232">
        <f t="shared" si="34"/>
        <v>-79.173975897641924</v>
      </c>
      <c r="AI113" s="232">
        <f t="shared" si="34"/>
        <v>-86.660663937334462</v>
      </c>
      <c r="AJ113" s="232">
        <f t="shared" si="34"/>
        <v>-83.124611194247933</v>
      </c>
      <c r="AK113" s="232">
        <f t="shared" si="34"/>
        <v>-90.985391730976829</v>
      </c>
      <c r="AL113" s="232">
        <f t="shared" si="34"/>
        <v>-87.27253635073599</v>
      </c>
    </row>
    <row r="114" spans="1:38" outlineLevel="1" x14ac:dyDescent="0.2">
      <c r="B114" s="270" t="s">
        <v>67</v>
      </c>
      <c r="C114" s="252" t="s">
        <v>67</v>
      </c>
      <c r="D114" s="253"/>
      <c r="E114" s="254" t="s">
        <v>67</v>
      </c>
      <c r="F114" s="254" t="s">
        <v>67</v>
      </c>
      <c r="G114" s="254" t="s">
        <v>67</v>
      </c>
      <c r="H114" s="254" t="s">
        <v>67</v>
      </c>
      <c r="I114" s="254" t="s">
        <v>67</v>
      </c>
      <c r="J114" s="254" t="s">
        <v>67</v>
      </c>
      <c r="K114" s="254" t="s">
        <v>67</v>
      </c>
      <c r="L114" s="254" t="s">
        <v>67</v>
      </c>
      <c r="M114" s="254" t="s">
        <v>67</v>
      </c>
      <c r="N114" s="254" t="s">
        <v>67</v>
      </c>
      <c r="O114" s="254" t="s">
        <v>67</v>
      </c>
      <c r="P114" s="254" t="s">
        <v>67</v>
      </c>
      <c r="Q114" s="254" t="s">
        <v>67</v>
      </c>
      <c r="R114" s="254" t="s">
        <v>67</v>
      </c>
      <c r="S114" s="254" t="s">
        <v>67</v>
      </c>
      <c r="T114" s="254" t="s">
        <v>67</v>
      </c>
      <c r="U114" s="254" t="s">
        <v>67</v>
      </c>
      <c r="V114" s="254" t="s">
        <v>67</v>
      </c>
      <c r="W114" s="254" t="s">
        <v>67</v>
      </c>
      <c r="X114" s="254" t="s">
        <v>67</v>
      </c>
      <c r="Y114" s="254" t="s">
        <v>67</v>
      </c>
      <c r="Z114" s="254" t="s">
        <v>67</v>
      </c>
      <c r="AA114" s="254" t="s">
        <v>67</v>
      </c>
      <c r="AB114" s="254" t="s">
        <v>67</v>
      </c>
      <c r="AC114" s="254" t="s">
        <v>67</v>
      </c>
      <c r="AD114" s="254" t="s">
        <v>67</v>
      </c>
      <c r="AE114" s="254" t="s">
        <v>67</v>
      </c>
      <c r="AF114" s="254" t="s">
        <v>67</v>
      </c>
      <c r="AG114" s="254" t="s">
        <v>67</v>
      </c>
      <c r="AH114" s="254" t="s">
        <v>67</v>
      </c>
      <c r="AI114" s="254" t="s">
        <v>67</v>
      </c>
      <c r="AJ114" s="254" t="s">
        <v>67</v>
      </c>
      <c r="AK114" s="254" t="s">
        <v>67</v>
      </c>
      <c r="AL114" s="254" t="s">
        <v>67</v>
      </c>
    </row>
    <row r="115" spans="1:38" s="237" customFormat="1" outlineLevel="1" x14ac:dyDescent="0.2">
      <c r="B115" s="410" t="s">
        <v>72</v>
      </c>
      <c r="C115" s="241" t="s">
        <v>37</v>
      </c>
      <c r="D115" s="238"/>
      <c r="E115" s="257">
        <v>15.1</v>
      </c>
      <c r="F115" s="257">
        <f>30.8-E115</f>
        <v>15.700000000000001</v>
      </c>
      <c r="G115" s="257">
        <v>29.9</v>
      </c>
      <c r="H115" s="257">
        <f>61.2-G115</f>
        <v>31.300000000000004</v>
      </c>
      <c r="I115" s="257">
        <v>25.9</v>
      </c>
      <c r="J115" s="257">
        <f>60.5-I115</f>
        <v>34.6</v>
      </c>
      <c r="K115" s="229">
        <f t="shared" ref="K115:AL115" si="35">SUM(K112:K114)</f>
        <v>34.668128599999989</v>
      </c>
      <c r="L115" s="229">
        <f t="shared" si="35"/>
        <v>36.149976807272743</v>
      </c>
      <c r="M115" s="229">
        <f t="shared" si="35"/>
        <v>37.431264479999996</v>
      </c>
      <c r="N115" s="229">
        <f t="shared" si="35"/>
        <v>38.182475647636373</v>
      </c>
      <c r="O115" s="229">
        <f t="shared" si="35"/>
        <v>39.308827703999995</v>
      </c>
      <c r="P115" s="229">
        <f t="shared" si="35"/>
        <v>40.097599430018192</v>
      </c>
      <c r="Q115" s="229">
        <f t="shared" si="35"/>
        <v>41.280449089200005</v>
      </c>
      <c r="R115" s="229">
        <f t="shared" si="35"/>
        <v>42.10865940151912</v>
      </c>
      <c r="S115" s="229">
        <f t="shared" si="35"/>
        <v>43.350836943659985</v>
      </c>
      <c r="T115" s="229">
        <f t="shared" si="35"/>
        <v>44.220457771595072</v>
      </c>
      <c r="U115" s="229">
        <f t="shared" si="35"/>
        <v>45.524935152843007</v>
      </c>
      <c r="V115" s="229">
        <f t="shared" si="35"/>
        <v>46.438037022174832</v>
      </c>
      <c r="W115" s="229">
        <f t="shared" si="35"/>
        <v>47.807934963345133</v>
      </c>
      <c r="X115" s="229">
        <f t="shared" si="35"/>
        <v>48.766691926143572</v>
      </c>
      <c r="Y115" s="229">
        <f t="shared" si="35"/>
        <v>50.205287355958177</v>
      </c>
      <c r="Z115" s="229">
        <f t="shared" si="35"/>
        <v>51.211982166896547</v>
      </c>
      <c r="AA115" s="229">
        <f t="shared" si="35"/>
        <v>52.722716037535292</v>
      </c>
      <c r="AB115" s="229">
        <f t="shared" si="35"/>
        <v>53.779745589020564</v>
      </c>
      <c r="AC115" s="229">
        <f t="shared" si="35"/>
        <v>55.366231082604614</v>
      </c>
      <c r="AD115" s="229">
        <f t="shared" si="35"/>
        <v>56.47611211166415</v>
      </c>
      <c r="AE115" s="229">
        <f t="shared" si="35"/>
        <v>58.142143257223182</v>
      </c>
      <c r="AF115" s="229">
        <f t="shared" si="35"/>
        <v>59.307518337735644</v>
      </c>
      <c r="AG115" s="229">
        <f t="shared" si="35"/>
        <v>61.057079059187288</v>
      </c>
      <c r="AH115" s="229">
        <f t="shared" si="35"/>
        <v>62.280722893725454</v>
      </c>
      <c r="AI115" s="229">
        <f t="shared" si="35"/>
        <v>64.117996510422714</v>
      </c>
      <c r="AJ115" s="229">
        <f t="shared" si="35"/>
        <v>65.402822536687779</v>
      </c>
      <c r="AK115" s="229">
        <f t="shared" si="35"/>
        <v>67.332201739168227</v>
      </c>
      <c r="AL115" s="229">
        <f t="shared" si="35"/>
        <v>68.681269066746509</v>
      </c>
    </row>
    <row r="116" spans="1:38" s="237" customFormat="1" outlineLevel="1" x14ac:dyDescent="0.2">
      <c r="B116" s="413" t="s">
        <v>73</v>
      </c>
      <c r="C116" s="235" t="s">
        <v>37</v>
      </c>
      <c r="D116" s="238"/>
      <c r="E116" s="231">
        <v>0</v>
      </c>
      <c r="F116" s="231">
        <f>0.5-E116</f>
        <v>0.5</v>
      </c>
      <c r="G116" s="231">
        <v>0.4</v>
      </c>
      <c r="H116" s="231">
        <f>1.1-G116</f>
        <v>0.70000000000000007</v>
      </c>
      <c r="I116" s="231">
        <v>0.2</v>
      </c>
      <c r="J116" s="231">
        <f>0.5-I116</f>
        <v>0.3</v>
      </c>
      <c r="K116" s="232">
        <f t="shared" ref="K116:AL116" si="36">K238</f>
        <v>0.32925176470588235</v>
      </c>
      <c r="L116" s="232">
        <f t="shared" si="36"/>
        <v>0.32433581461675592</v>
      </c>
      <c r="M116" s="232">
        <f t="shared" si="36"/>
        <v>0.34571435294117642</v>
      </c>
      <c r="N116" s="232">
        <f t="shared" si="36"/>
        <v>0.34055260534759368</v>
      </c>
      <c r="O116" s="232">
        <f t="shared" si="36"/>
        <v>0.36300007058823525</v>
      </c>
      <c r="P116" s="232">
        <f t="shared" si="36"/>
        <v>0.35758023561497337</v>
      </c>
      <c r="Q116" s="232">
        <f t="shared" si="36"/>
        <v>0.38115007411764706</v>
      </c>
      <c r="R116" s="232">
        <f t="shared" si="36"/>
        <v>0.37545924739572212</v>
      </c>
      <c r="S116" s="232">
        <f t="shared" si="36"/>
        <v>0.40020757782352934</v>
      </c>
      <c r="T116" s="232">
        <f t="shared" si="36"/>
        <v>0.39423220976550821</v>
      </c>
      <c r="U116" s="232">
        <f t="shared" si="36"/>
        <v>0.42021795671470596</v>
      </c>
      <c r="V116" s="232">
        <f t="shared" si="36"/>
        <v>0.41394382025378368</v>
      </c>
      <c r="W116" s="232">
        <f t="shared" si="36"/>
        <v>0.44122885455044114</v>
      </c>
      <c r="X116" s="232">
        <f t="shared" si="36"/>
        <v>0.43464101126647287</v>
      </c>
      <c r="Y116" s="232">
        <f t="shared" si="36"/>
        <v>0.46329029727796317</v>
      </c>
      <c r="Z116" s="232">
        <f t="shared" si="36"/>
        <v>0.45637306182979653</v>
      </c>
      <c r="AA116" s="232">
        <f t="shared" si="36"/>
        <v>0.48645481214186137</v>
      </c>
      <c r="AB116" s="232">
        <f t="shared" si="36"/>
        <v>0.47919171492128643</v>
      </c>
      <c r="AC116" s="232">
        <f t="shared" si="36"/>
        <v>0.51077755274895453</v>
      </c>
      <c r="AD116" s="232">
        <f t="shared" si="36"/>
        <v>0.50315130066735081</v>
      </c>
      <c r="AE116" s="232">
        <f t="shared" si="36"/>
        <v>0.53631643038640231</v>
      </c>
      <c r="AF116" s="232">
        <f t="shared" si="36"/>
        <v>0.52830886570071822</v>
      </c>
      <c r="AG116" s="232">
        <f t="shared" si="36"/>
        <v>0.56313225190572247</v>
      </c>
      <c r="AH116" s="232">
        <f t="shared" si="36"/>
        <v>0.55472430898575442</v>
      </c>
      <c r="AI116" s="232">
        <f t="shared" si="36"/>
        <v>0.59128886450100848</v>
      </c>
      <c r="AJ116" s="232">
        <f t="shared" si="36"/>
        <v>0.58246052443504204</v>
      </c>
      <c r="AK116" s="232">
        <f t="shared" si="36"/>
        <v>0.62085330772605907</v>
      </c>
      <c r="AL116" s="232">
        <f t="shared" si="36"/>
        <v>0.61158355065679415</v>
      </c>
    </row>
    <row r="117" spans="1:38" s="237" customFormat="1" outlineLevel="1" x14ac:dyDescent="0.2">
      <c r="B117" s="413" t="s">
        <v>74</v>
      </c>
      <c r="C117" s="235" t="s">
        <v>37</v>
      </c>
      <c r="D117" s="238"/>
      <c r="E117" s="231">
        <v>-16.8</v>
      </c>
      <c r="F117" s="231">
        <v>-14.3</v>
      </c>
      <c r="G117" s="231">
        <v>-28.7</v>
      </c>
      <c r="H117" s="231">
        <v>-26.4</v>
      </c>
      <c r="I117" s="231">
        <v>-39.299999999999997</v>
      </c>
      <c r="J117" s="231">
        <f>-68.2-I117</f>
        <v>-28.900000000000006</v>
      </c>
      <c r="K117" s="232">
        <f t="shared" ref="K117:AL117" si="37">K229</f>
        <v>-29.5</v>
      </c>
      <c r="L117" s="232">
        <f t="shared" si="37"/>
        <v>-25.5</v>
      </c>
      <c r="M117" s="232">
        <f t="shared" si="37"/>
        <v>-29.149063431999998</v>
      </c>
      <c r="N117" s="232">
        <f t="shared" si="37"/>
        <v>-25.570575945400005</v>
      </c>
      <c r="O117" s="232">
        <f t="shared" si="37"/>
        <v>-29.019133142999998</v>
      </c>
      <c r="P117" s="232">
        <f t="shared" si="37"/>
        <v>-25.576820302950011</v>
      </c>
      <c r="Q117" s="232">
        <f t="shared" si="37"/>
        <v>-28.866400863300004</v>
      </c>
      <c r="R117" s="232">
        <f t="shared" si="37"/>
        <v>-26.855661318097511</v>
      </c>
      <c r="S117" s="232">
        <f t="shared" si="37"/>
        <v>-29.748429778567498</v>
      </c>
      <c r="T117" s="232">
        <f t="shared" si="37"/>
        <v>-27.645533709806266</v>
      </c>
      <c r="U117" s="232">
        <f t="shared" si="37"/>
        <v>-31.235851267495878</v>
      </c>
      <c r="V117" s="232">
        <f t="shared" si="37"/>
        <v>-29.027810395296584</v>
      </c>
      <c r="W117" s="232">
        <f t="shared" si="37"/>
        <v>-32.797643830870669</v>
      </c>
      <c r="X117" s="232">
        <f t="shared" si="37"/>
        <v>-30.479200915061412</v>
      </c>
      <c r="Y117" s="232">
        <f t="shared" si="37"/>
        <v>-34.437526022414197</v>
      </c>
      <c r="Z117" s="232">
        <f t="shared" si="37"/>
        <v>-32.003160960814483</v>
      </c>
      <c r="AA117" s="232">
        <f t="shared" si="37"/>
        <v>-36.159402323534913</v>
      </c>
      <c r="AB117" s="232">
        <f t="shared" si="37"/>
        <v>-33.603319008855209</v>
      </c>
      <c r="AC117" s="232">
        <f t="shared" si="37"/>
        <v>-37.967372439711667</v>
      </c>
      <c r="AD117" s="232">
        <f t="shared" si="37"/>
        <v>-35.283484959297972</v>
      </c>
      <c r="AE117" s="232">
        <f t="shared" si="37"/>
        <v>-39.86574106169725</v>
      </c>
      <c r="AF117" s="232">
        <f t="shared" si="37"/>
        <v>-37.047659207262868</v>
      </c>
      <c r="AG117" s="232">
        <f t="shared" si="37"/>
        <v>-41.85902811478212</v>
      </c>
      <c r="AH117" s="232">
        <f t="shared" si="37"/>
        <v>-38.900042167626026</v>
      </c>
      <c r="AI117" s="232">
        <f t="shared" si="37"/>
        <v>-43.95197952052122</v>
      </c>
      <c r="AJ117" s="232">
        <f t="shared" si="37"/>
        <v>-40.845044276007322</v>
      </c>
      <c r="AK117" s="232">
        <f t="shared" si="37"/>
        <v>-46.149578496547278</v>
      </c>
      <c r="AL117" s="232">
        <f t="shared" si="37"/>
        <v>-42.887296489807689</v>
      </c>
    </row>
    <row r="118" spans="1:38" outlineLevel="1" x14ac:dyDescent="0.2">
      <c r="B118" s="270" t="s">
        <v>67</v>
      </c>
      <c r="C118" s="252" t="s">
        <v>67</v>
      </c>
      <c r="D118" s="253"/>
      <c r="E118" s="254" t="s">
        <v>67</v>
      </c>
      <c r="F118" s="254" t="s">
        <v>67</v>
      </c>
      <c r="G118" s="254" t="s">
        <v>67</v>
      </c>
      <c r="H118" s="254" t="s">
        <v>67</v>
      </c>
      <c r="I118" s="254" t="s">
        <v>67</v>
      </c>
      <c r="J118" s="254" t="s">
        <v>67</v>
      </c>
      <c r="K118" s="254" t="s">
        <v>67</v>
      </c>
      <c r="L118" s="254" t="s">
        <v>67</v>
      </c>
      <c r="M118" s="254" t="s">
        <v>67</v>
      </c>
      <c r="N118" s="254" t="s">
        <v>67</v>
      </c>
      <c r="O118" s="254" t="s">
        <v>67</v>
      </c>
      <c r="P118" s="254" t="s">
        <v>67</v>
      </c>
      <c r="Q118" s="254" t="s">
        <v>67</v>
      </c>
      <c r="R118" s="254" t="s">
        <v>67</v>
      </c>
      <c r="S118" s="254" t="s">
        <v>67</v>
      </c>
      <c r="T118" s="254" t="s">
        <v>67</v>
      </c>
      <c r="U118" s="254" t="s">
        <v>67</v>
      </c>
      <c r="V118" s="254" t="s">
        <v>67</v>
      </c>
      <c r="W118" s="254" t="s">
        <v>67</v>
      </c>
      <c r="X118" s="254" t="s">
        <v>67</v>
      </c>
      <c r="Y118" s="254" t="s">
        <v>67</v>
      </c>
      <c r="Z118" s="254" t="s">
        <v>67</v>
      </c>
      <c r="AA118" s="254" t="s">
        <v>67</v>
      </c>
      <c r="AB118" s="254" t="s">
        <v>67</v>
      </c>
      <c r="AC118" s="254" t="s">
        <v>67</v>
      </c>
      <c r="AD118" s="254" t="s">
        <v>67</v>
      </c>
      <c r="AE118" s="254" t="s">
        <v>67</v>
      </c>
      <c r="AF118" s="254" t="s">
        <v>67</v>
      </c>
      <c r="AG118" s="254" t="s">
        <v>67</v>
      </c>
      <c r="AH118" s="254" t="s">
        <v>67</v>
      </c>
      <c r="AI118" s="254" t="s">
        <v>67</v>
      </c>
      <c r="AJ118" s="254" t="s">
        <v>67</v>
      </c>
      <c r="AK118" s="254" t="s">
        <v>67</v>
      </c>
      <c r="AL118" s="254" t="s">
        <v>67</v>
      </c>
    </row>
    <row r="119" spans="1:38" s="237" customFormat="1" outlineLevel="1" x14ac:dyDescent="0.2">
      <c r="B119" s="410" t="s">
        <v>75</v>
      </c>
      <c r="C119" s="241" t="s">
        <v>37</v>
      </c>
      <c r="D119" s="238"/>
      <c r="E119" s="257">
        <v>-1.7</v>
      </c>
      <c r="F119" s="257">
        <f>0.2-E119</f>
        <v>1.9</v>
      </c>
      <c r="G119" s="257">
        <v>1.7</v>
      </c>
      <c r="H119" s="257">
        <f>7.2-G119</f>
        <v>5.5</v>
      </c>
      <c r="I119" s="257">
        <v>-13.2</v>
      </c>
      <c r="J119" s="257">
        <f>-7.1-I119</f>
        <v>6.1</v>
      </c>
      <c r="K119" s="229">
        <f t="shared" ref="K119:AL119" si="38">SUM(K115:K118)</f>
        <v>5.4973803647058688</v>
      </c>
      <c r="L119" s="229">
        <f t="shared" si="38"/>
        <v>10.974312621889503</v>
      </c>
      <c r="M119" s="229">
        <f t="shared" si="38"/>
        <v>8.6279154009411769</v>
      </c>
      <c r="N119" s="229">
        <f t="shared" si="38"/>
        <v>12.952452307583965</v>
      </c>
      <c r="O119" s="229">
        <f t="shared" si="38"/>
        <v>10.652694631588233</v>
      </c>
      <c r="P119" s="229">
        <f t="shared" si="38"/>
        <v>14.878359362683156</v>
      </c>
      <c r="Q119" s="229">
        <f t="shared" si="38"/>
        <v>12.795198300017649</v>
      </c>
      <c r="R119" s="229">
        <f t="shared" si="38"/>
        <v>15.628457330817334</v>
      </c>
      <c r="S119" s="229">
        <f t="shared" si="38"/>
        <v>14.002614742916016</v>
      </c>
      <c r="T119" s="229">
        <f t="shared" si="38"/>
        <v>16.969156271554311</v>
      </c>
      <c r="U119" s="229">
        <f t="shared" si="38"/>
        <v>14.709301842061837</v>
      </c>
      <c r="V119" s="229">
        <f t="shared" si="38"/>
        <v>17.824170447132033</v>
      </c>
      <c r="W119" s="229">
        <f t="shared" si="38"/>
        <v>15.451519987024902</v>
      </c>
      <c r="X119" s="229">
        <f t="shared" si="38"/>
        <v>18.722132022348632</v>
      </c>
      <c r="Y119" s="229">
        <f t="shared" si="38"/>
        <v>16.231051630821945</v>
      </c>
      <c r="Z119" s="229">
        <f t="shared" si="38"/>
        <v>19.665194267911858</v>
      </c>
      <c r="AA119" s="229">
        <f t="shared" si="38"/>
        <v>17.049768526142238</v>
      </c>
      <c r="AB119" s="229">
        <f t="shared" si="38"/>
        <v>20.65561829508664</v>
      </c>
      <c r="AC119" s="229">
        <f t="shared" si="38"/>
        <v>17.909636195641902</v>
      </c>
      <c r="AD119" s="229">
        <f t="shared" si="38"/>
        <v>21.695778453033526</v>
      </c>
      <c r="AE119" s="229">
        <f t="shared" si="38"/>
        <v>18.812718625912332</v>
      </c>
      <c r="AF119" s="229">
        <f t="shared" si="38"/>
        <v>22.788167996173492</v>
      </c>
      <c r="AG119" s="229">
        <f t="shared" si="38"/>
        <v>19.761183196310888</v>
      </c>
      <c r="AH119" s="229">
        <f t="shared" si="38"/>
        <v>23.935405035085182</v>
      </c>
      <c r="AI119" s="229">
        <f t="shared" si="38"/>
        <v>20.757305854402503</v>
      </c>
      <c r="AJ119" s="229">
        <f t="shared" si="38"/>
        <v>25.140238785115493</v>
      </c>
      <c r="AK119" s="229">
        <f t="shared" si="38"/>
        <v>21.803476550347014</v>
      </c>
      <c r="AL119" s="229">
        <f t="shared" si="38"/>
        <v>26.405556127595609</v>
      </c>
    </row>
    <row r="120" spans="1:38" s="237" customFormat="1" outlineLevel="1" x14ac:dyDescent="0.2">
      <c r="B120" s="413" t="s">
        <v>76</v>
      </c>
      <c r="C120" s="235" t="s">
        <v>37</v>
      </c>
      <c r="D120" s="238"/>
      <c r="E120" s="231"/>
      <c r="F120" s="231"/>
      <c r="G120" s="231">
        <v>-1.9</v>
      </c>
      <c r="H120" s="231">
        <f>-4.1-G120</f>
        <v>-2.1999999999999997</v>
      </c>
      <c r="I120" s="231">
        <v>-6.2</v>
      </c>
      <c r="J120" s="231">
        <f>-12.9-I120</f>
        <v>-6.7</v>
      </c>
      <c r="K120" s="232">
        <f t="shared" ref="K120:AL120" si="39">K341</f>
        <v>-5.0869565217391308</v>
      </c>
      <c r="L120" s="232">
        <f t="shared" si="39"/>
        <v>-5.0827794062048257</v>
      </c>
      <c r="M120" s="232">
        <f t="shared" si="39"/>
        <v>-5.0708630748191839</v>
      </c>
      <c r="N120" s="232">
        <f t="shared" si="39"/>
        <v>-5.0958728940523921</v>
      </c>
      <c r="O120" s="232">
        <f t="shared" si="39"/>
        <v>-5.1095613420173249</v>
      </c>
      <c r="P120" s="232">
        <f t="shared" si="39"/>
        <v>-5.1591743572711959</v>
      </c>
      <c r="Q120" s="232">
        <f t="shared" si="39"/>
        <v>-5.1943615951869644</v>
      </c>
      <c r="R120" s="232">
        <f t="shared" si="39"/>
        <v>-5.2108037902209903</v>
      </c>
      <c r="S120" s="232">
        <f t="shared" si="39"/>
        <v>-5.216783372232296</v>
      </c>
      <c r="T120" s="232">
        <f t="shared" si="39"/>
        <v>-5.2598407533999811</v>
      </c>
      <c r="U120" s="232">
        <f t="shared" si="39"/>
        <v>-5.2891087956349025</v>
      </c>
      <c r="V120" s="232">
        <f t="shared" si="39"/>
        <v>-5.3548096703402122</v>
      </c>
      <c r="W120" s="232">
        <f t="shared" si="39"/>
        <v>-5.4038044973748969</v>
      </c>
      <c r="X120" s="232">
        <f t="shared" si="39"/>
        <v>-5.4890686482113145</v>
      </c>
      <c r="Y120" s="232">
        <f t="shared" si="39"/>
        <v>-5.5550220759070719</v>
      </c>
      <c r="Z120" s="232">
        <f t="shared" si="39"/>
        <v>-5.6574812436697197</v>
      </c>
      <c r="AA120" s="232">
        <f t="shared" si="39"/>
        <v>-5.7382585206798478</v>
      </c>
      <c r="AB120" s="232">
        <f t="shared" si="39"/>
        <v>-5.8561139793330819</v>
      </c>
      <c r="AC120" s="232">
        <f t="shared" si="39"/>
        <v>-5.950086786119817</v>
      </c>
      <c r="AD120" s="232">
        <f t="shared" si="39"/>
        <v>-6.0819963938572377</v>
      </c>
      <c r="AE120" s="232">
        <f t="shared" si="39"/>
        <v>-6.1879421110314068</v>
      </c>
      <c r="AF120" s="232">
        <f t="shared" si="39"/>
        <v>-6.3329307876768297</v>
      </c>
      <c r="AG120" s="232">
        <f t="shared" si="39"/>
        <v>-6.4499526413481059</v>
      </c>
      <c r="AH120" s="232">
        <f t="shared" si="39"/>
        <v>-6.6073414665252423</v>
      </c>
      <c r="AI120" s="232">
        <f t="shared" si="39"/>
        <v>-6.7348052672861076</v>
      </c>
      <c r="AJ120" s="232">
        <f t="shared" si="39"/>
        <v>-6.9041553822144275</v>
      </c>
      <c r="AK120" s="232">
        <f t="shared" si="39"/>
        <v>-7.0416394553651926</v>
      </c>
      <c r="AL120" s="232">
        <f t="shared" si="39"/>
        <v>-7.2227077363970169</v>
      </c>
    </row>
    <row r="121" spans="1:38" s="237" customFormat="1" outlineLevel="1" x14ac:dyDescent="0.2">
      <c r="B121" s="413" t="s">
        <v>77</v>
      </c>
      <c r="C121" s="235" t="s">
        <v>37</v>
      </c>
      <c r="D121" s="238"/>
      <c r="E121" s="231"/>
      <c r="F121" s="231"/>
      <c r="G121" s="264">
        <v>-0.19999999999999998</v>
      </c>
      <c r="H121" s="264">
        <v>-2.7</v>
      </c>
      <c r="I121" s="231">
        <v>0.29999999999999993</v>
      </c>
      <c r="J121" s="231">
        <f>-0.8-I121</f>
        <v>-1.1000000000000001</v>
      </c>
      <c r="K121" s="232">
        <f>K424-K177</f>
        <v>-0.5750904109589039</v>
      </c>
      <c r="L121" s="232">
        <f t="shared" ref="L121:AL121" si="40">L424-L177</f>
        <v>-0.55642588487802414</v>
      </c>
      <c r="M121" s="232">
        <f t="shared" si="40"/>
        <v>-0.55756182256193276</v>
      </c>
      <c r="N121" s="232">
        <f t="shared" si="40"/>
        <v>-1.514690922707199</v>
      </c>
      <c r="O121" s="232">
        <f t="shared" si="40"/>
        <v>-1.4920628506815981</v>
      </c>
      <c r="P121" s="232">
        <f t="shared" si="40"/>
        <v>-1.4261052009309314</v>
      </c>
      <c r="Q121" s="232">
        <f t="shared" si="40"/>
        <v>-1.3989035912686907</v>
      </c>
      <c r="R121" s="232">
        <f t="shared" si="40"/>
        <v>-1.3156042690562595</v>
      </c>
      <c r="S121" s="232">
        <f t="shared" si="40"/>
        <v>-1.2783739398386036</v>
      </c>
      <c r="T121" s="232">
        <f t="shared" si="40"/>
        <v>-1.1894579561829177</v>
      </c>
      <c r="U121" s="232">
        <f t="shared" si="40"/>
        <v>-1.1425230946058291</v>
      </c>
      <c r="V121" s="232">
        <f t="shared" si="40"/>
        <v>-1.0573565577122239</v>
      </c>
      <c r="W121" s="232">
        <f t="shared" si="40"/>
        <v>-0.99810364298808651</v>
      </c>
      <c r="X121" s="232">
        <f t="shared" si="40"/>
        <v>-0.90486419513193761</v>
      </c>
      <c r="Y121" s="232">
        <f t="shared" si="40"/>
        <v>-0.84435285515138481</v>
      </c>
      <c r="Z121" s="232">
        <f t="shared" si="40"/>
        <v>-0.7486637331203827</v>
      </c>
      <c r="AA121" s="232">
        <f t="shared" si="40"/>
        <v>-0.68063793265766215</v>
      </c>
      <c r="AB121" s="232">
        <f t="shared" si="40"/>
        <v>-0.5823237463914801</v>
      </c>
      <c r="AC121" s="232">
        <f t="shared" si="40"/>
        <v>-0.50628530261657323</v>
      </c>
      <c r="AD121" s="232">
        <f t="shared" si="40"/>
        <v>-0.40741700581461648</v>
      </c>
      <c r="AE121" s="232">
        <f t="shared" si="40"/>
        <v>-0.32062982821704344</v>
      </c>
      <c r="AF121" s="232">
        <f t="shared" si="40"/>
        <v>-0.21656741686964187</v>
      </c>
      <c r="AG121" s="232">
        <f t="shared" si="40"/>
        <v>-0.12294590022027241</v>
      </c>
      <c r="AH121" s="232">
        <f t="shared" si="40"/>
        <v>-1.5767788089839252E-2</v>
      </c>
      <c r="AI121" s="232">
        <f t="shared" si="40"/>
        <v>8.746352452425965E-2</v>
      </c>
      <c r="AJ121" s="232">
        <f t="shared" si="40"/>
        <v>0.19791713756409424</v>
      </c>
      <c r="AK121" s="232">
        <f t="shared" si="40"/>
        <v>0.31133389650602061</v>
      </c>
      <c r="AL121" s="232">
        <f t="shared" si="40"/>
        <v>0.42757326615778513</v>
      </c>
    </row>
    <row r="122" spans="1:38" outlineLevel="1" x14ac:dyDescent="0.2">
      <c r="B122" s="270" t="s">
        <v>67</v>
      </c>
      <c r="C122" s="252" t="s">
        <v>67</v>
      </c>
      <c r="D122" s="253"/>
      <c r="E122" s="254" t="s">
        <v>67</v>
      </c>
      <c r="F122" s="254" t="s">
        <v>67</v>
      </c>
      <c r="G122" s="254" t="s">
        <v>67</v>
      </c>
      <c r="H122" s="254" t="s">
        <v>67</v>
      </c>
      <c r="I122" s="254" t="s">
        <v>67</v>
      </c>
      <c r="J122" s="254" t="s">
        <v>67</v>
      </c>
      <c r="K122" s="254" t="s">
        <v>67</v>
      </c>
      <c r="L122" s="254" t="s">
        <v>67</v>
      </c>
      <c r="M122" s="254" t="s">
        <v>67</v>
      </c>
      <c r="N122" s="254" t="s">
        <v>67</v>
      </c>
      <c r="O122" s="254" t="s">
        <v>67</v>
      </c>
      <c r="P122" s="254" t="s">
        <v>67</v>
      </c>
      <c r="Q122" s="254" t="s">
        <v>67</v>
      </c>
      <c r="R122" s="254" t="s">
        <v>67</v>
      </c>
      <c r="S122" s="254" t="s">
        <v>67</v>
      </c>
      <c r="T122" s="254" t="s">
        <v>67</v>
      </c>
      <c r="U122" s="254" t="s">
        <v>67</v>
      </c>
      <c r="V122" s="254" t="s">
        <v>67</v>
      </c>
      <c r="W122" s="254" t="s">
        <v>67</v>
      </c>
      <c r="X122" s="254" t="s">
        <v>67</v>
      </c>
      <c r="Y122" s="254" t="s">
        <v>67</v>
      </c>
      <c r="Z122" s="254" t="s">
        <v>67</v>
      </c>
      <c r="AA122" s="254" t="s">
        <v>67</v>
      </c>
      <c r="AB122" s="254" t="s">
        <v>67</v>
      </c>
      <c r="AC122" s="254" t="s">
        <v>67</v>
      </c>
      <c r="AD122" s="254" t="s">
        <v>67</v>
      </c>
      <c r="AE122" s="254" t="s">
        <v>67</v>
      </c>
      <c r="AF122" s="254" t="s">
        <v>67</v>
      </c>
      <c r="AG122" s="254" t="s">
        <v>67</v>
      </c>
      <c r="AH122" s="254" t="s">
        <v>67</v>
      </c>
      <c r="AI122" s="254" t="s">
        <v>67</v>
      </c>
      <c r="AJ122" s="254" t="s">
        <v>67</v>
      </c>
      <c r="AK122" s="254" t="s">
        <v>67</v>
      </c>
      <c r="AL122" s="254" t="s">
        <v>67</v>
      </c>
    </row>
    <row r="123" spans="1:38" s="237" customFormat="1" outlineLevel="1" x14ac:dyDescent="0.2">
      <c r="B123" s="410" t="s">
        <v>78</v>
      </c>
      <c r="C123" s="241" t="s">
        <v>37</v>
      </c>
      <c r="D123" s="238"/>
      <c r="E123" s="257"/>
      <c r="F123" s="257"/>
      <c r="G123" s="257">
        <v>-0.4</v>
      </c>
      <c r="H123" s="257">
        <f>0.2-G123</f>
        <v>0.60000000000000009</v>
      </c>
      <c r="I123" s="257">
        <v>-19</v>
      </c>
      <c r="J123" s="257">
        <f>-20.8-I123</f>
        <v>-1.8000000000000007</v>
      </c>
      <c r="K123" s="229">
        <f t="shared" ref="K123:AL123" si="41">SUM(K119:K122)</f>
        <v>-0.16466656799216595</v>
      </c>
      <c r="L123" s="229">
        <f t="shared" si="41"/>
        <v>5.335107330806653</v>
      </c>
      <c r="M123" s="229">
        <f t="shared" si="41"/>
        <v>2.9994905035600601</v>
      </c>
      <c r="N123" s="229">
        <f t="shared" si="41"/>
        <v>6.341888490824374</v>
      </c>
      <c r="O123" s="229">
        <f t="shared" si="41"/>
        <v>4.05107043888931</v>
      </c>
      <c r="P123" s="229">
        <f t="shared" si="41"/>
        <v>8.2930798044810281</v>
      </c>
      <c r="Q123" s="229">
        <f t="shared" si="41"/>
        <v>6.2019331135619939</v>
      </c>
      <c r="R123" s="229">
        <f t="shared" si="41"/>
        <v>9.1020492715400856</v>
      </c>
      <c r="S123" s="229">
        <f t="shared" si="41"/>
        <v>7.5074574308451165</v>
      </c>
      <c r="T123" s="229">
        <f t="shared" si="41"/>
        <v>10.519857561971413</v>
      </c>
      <c r="U123" s="229">
        <f t="shared" si="41"/>
        <v>8.277669951821105</v>
      </c>
      <c r="V123" s="229">
        <f t="shared" si="41"/>
        <v>11.412004219079597</v>
      </c>
      <c r="W123" s="229">
        <f t="shared" si="41"/>
        <v>9.0496118466619198</v>
      </c>
      <c r="X123" s="229">
        <f t="shared" si="41"/>
        <v>12.328199179005379</v>
      </c>
      <c r="Y123" s="229">
        <f t="shared" si="41"/>
        <v>9.8316766997634879</v>
      </c>
      <c r="Z123" s="229">
        <f t="shared" si="41"/>
        <v>13.259049291121755</v>
      </c>
      <c r="AA123" s="229">
        <f t="shared" si="41"/>
        <v>10.630872072804728</v>
      </c>
      <c r="AB123" s="229">
        <f t="shared" si="41"/>
        <v>14.217180569362078</v>
      </c>
      <c r="AC123" s="229">
        <f t="shared" si="41"/>
        <v>11.453264106905511</v>
      </c>
      <c r="AD123" s="229">
        <f t="shared" si="41"/>
        <v>15.206365053361671</v>
      </c>
      <c r="AE123" s="229">
        <f t="shared" si="41"/>
        <v>12.304146686663881</v>
      </c>
      <c r="AF123" s="229">
        <f t="shared" si="41"/>
        <v>16.238669791627022</v>
      </c>
      <c r="AG123" s="229">
        <f t="shared" si="41"/>
        <v>13.18828465474251</v>
      </c>
      <c r="AH123" s="229">
        <f t="shared" si="41"/>
        <v>17.312295780470102</v>
      </c>
      <c r="AI123" s="229">
        <f t="shared" si="41"/>
        <v>14.109964111640656</v>
      </c>
      <c r="AJ123" s="229">
        <f t="shared" si="41"/>
        <v>18.43400054046516</v>
      </c>
      <c r="AK123" s="229">
        <f t="shared" si="41"/>
        <v>15.073170991487842</v>
      </c>
      <c r="AL123" s="229">
        <f t="shared" si="41"/>
        <v>19.61042165735638</v>
      </c>
    </row>
    <row r="124" spans="1:38" s="237" customFormat="1" outlineLevel="1" x14ac:dyDescent="0.2">
      <c r="B124" s="413" t="s">
        <v>79</v>
      </c>
      <c r="C124" s="235" t="s">
        <v>37</v>
      </c>
      <c r="D124" s="238"/>
      <c r="E124" s="231"/>
      <c r="F124" s="231"/>
      <c r="G124" s="231">
        <v>2.4</v>
      </c>
      <c r="H124" s="231">
        <f>4.6-G124</f>
        <v>2.1999999999999997</v>
      </c>
      <c r="I124" s="231">
        <v>0</v>
      </c>
      <c r="J124" s="231">
        <f>0.1-I124</f>
        <v>0.1</v>
      </c>
      <c r="K124" s="232">
        <f t="shared" ref="K124:AL124" si="42">K242</f>
        <v>4.9399970397649783E-2</v>
      </c>
      <c r="L124" s="232">
        <f t="shared" si="42"/>
        <v>-1.6005321992419959</v>
      </c>
      <c r="M124" s="232">
        <f t="shared" si="42"/>
        <v>-0.89984715106801794</v>
      </c>
      <c r="N124" s="232">
        <f t="shared" si="42"/>
        <v>-1.9025665472473121</v>
      </c>
      <c r="O124" s="232">
        <f t="shared" si="42"/>
        <v>-1.2153211316667929</v>
      </c>
      <c r="P124" s="232">
        <f t="shared" si="42"/>
        <v>-2.4879239413443082</v>
      </c>
      <c r="Q124" s="232">
        <f t="shared" si="42"/>
        <v>-1.860579934068598</v>
      </c>
      <c r="R124" s="232">
        <f t="shared" si="42"/>
        <v>-2.7306147814620254</v>
      </c>
      <c r="S124" s="232">
        <f t="shared" si="42"/>
        <v>-2.2522372292535349</v>
      </c>
      <c r="T124" s="232">
        <f t="shared" si="42"/>
        <v>-3.1559572685914241</v>
      </c>
      <c r="U124" s="232">
        <f t="shared" si="42"/>
        <v>-2.4833009855463315</v>
      </c>
      <c r="V124" s="232">
        <f t="shared" si="42"/>
        <v>-3.423601265723879</v>
      </c>
      <c r="W124" s="232">
        <f t="shared" si="42"/>
        <v>-2.7148835539985758</v>
      </c>
      <c r="X124" s="232">
        <f t="shared" si="42"/>
        <v>-3.6984597537016137</v>
      </c>
      <c r="Y124" s="232">
        <f t="shared" si="42"/>
        <v>-2.9495030099290465</v>
      </c>
      <c r="Z124" s="232">
        <f t="shared" si="42"/>
        <v>-3.9777147873365264</v>
      </c>
      <c r="AA124" s="232">
        <f t="shared" si="42"/>
        <v>-3.189261621841418</v>
      </c>
      <c r="AB124" s="232">
        <f t="shared" si="42"/>
        <v>-4.2651541708086231</v>
      </c>
      <c r="AC124" s="232">
        <f t="shared" si="42"/>
        <v>-3.4359792320716531</v>
      </c>
      <c r="AD124" s="232">
        <f t="shared" si="42"/>
        <v>-4.5619095160085008</v>
      </c>
      <c r="AE124" s="232">
        <f t="shared" si="42"/>
        <v>-3.691244005999164</v>
      </c>
      <c r="AF124" s="232">
        <f t="shared" si="42"/>
        <v>-4.8716009374881066</v>
      </c>
      <c r="AG124" s="232">
        <f t="shared" si="42"/>
        <v>-3.9564853964227531</v>
      </c>
      <c r="AH124" s="232">
        <f t="shared" si="42"/>
        <v>-5.1936887341410305</v>
      </c>
      <c r="AI124" s="232">
        <f t="shared" si="42"/>
        <v>-4.2329892334921961</v>
      </c>
      <c r="AJ124" s="232">
        <f t="shared" si="42"/>
        <v>-5.5302001621395478</v>
      </c>
      <c r="AK124" s="232">
        <f t="shared" si="42"/>
        <v>-4.5219512974463525</v>
      </c>
      <c r="AL124" s="232">
        <f t="shared" si="42"/>
        <v>-5.8831264972069137</v>
      </c>
    </row>
    <row r="125" spans="1:38" outlineLevel="1" x14ac:dyDescent="0.2">
      <c r="B125" s="270" t="s">
        <v>67</v>
      </c>
      <c r="C125" s="252" t="s">
        <v>67</v>
      </c>
      <c r="D125" s="253"/>
      <c r="E125" s="254" t="s">
        <v>67</v>
      </c>
      <c r="F125" s="254" t="s">
        <v>67</v>
      </c>
      <c r="G125" s="254" t="s">
        <v>67</v>
      </c>
      <c r="H125" s="254" t="s">
        <v>67</v>
      </c>
      <c r="I125" s="254" t="s">
        <v>67</v>
      </c>
      <c r="J125" s="254" t="s">
        <v>67</v>
      </c>
      <c r="K125" s="254" t="s">
        <v>67</v>
      </c>
      <c r="L125" s="254" t="s">
        <v>67</v>
      </c>
      <c r="M125" s="254" t="s">
        <v>67</v>
      </c>
      <c r="N125" s="254" t="s">
        <v>67</v>
      </c>
      <c r="O125" s="254" t="s">
        <v>67</v>
      </c>
      <c r="P125" s="254" t="s">
        <v>67</v>
      </c>
      <c r="Q125" s="254" t="s">
        <v>67</v>
      </c>
      <c r="R125" s="254" t="s">
        <v>67</v>
      </c>
      <c r="S125" s="254" t="s">
        <v>67</v>
      </c>
      <c r="T125" s="254" t="s">
        <v>67</v>
      </c>
      <c r="U125" s="254" t="s">
        <v>67</v>
      </c>
      <c r="V125" s="254" t="s">
        <v>67</v>
      </c>
      <c r="W125" s="254" t="s">
        <v>67</v>
      </c>
      <c r="X125" s="254" t="s">
        <v>67</v>
      </c>
      <c r="Y125" s="254" t="s">
        <v>67</v>
      </c>
      <c r="Z125" s="254" t="s">
        <v>67</v>
      </c>
      <c r="AA125" s="254" t="s">
        <v>67</v>
      </c>
      <c r="AB125" s="254" t="s">
        <v>67</v>
      </c>
      <c r="AC125" s="254" t="s">
        <v>67</v>
      </c>
      <c r="AD125" s="254" t="s">
        <v>67</v>
      </c>
      <c r="AE125" s="254" t="s">
        <v>67</v>
      </c>
      <c r="AF125" s="254" t="s">
        <v>67</v>
      </c>
      <c r="AG125" s="254" t="s">
        <v>67</v>
      </c>
      <c r="AH125" s="254" t="s">
        <v>67</v>
      </c>
      <c r="AI125" s="254" t="s">
        <v>67</v>
      </c>
      <c r="AJ125" s="254" t="s">
        <v>67</v>
      </c>
      <c r="AK125" s="254" t="s">
        <v>67</v>
      </c>
      <c r="AL125" s="254" t="s">
        <v>67</v>
      </c>
    </row>
    <row r="126" spans="1:38" s="237" customFormat="1" outlineLevel="1" x14ac:dyDescent="0.2">
      <c r="B126" s="410" t="s">
        <v>80</v>
      </c>
      <c r="C126" s="241" t="s">
        <v>37</v>
      </c>
      <c r="D126" s="238"/>
      <c r="E126" s="257"/>
      <c r="F126" s="257"/>
      <c r="G126" s="257">
        <v>2</v>
      </c>
      <c r="H126" s="257">
        <f>4.8-G126</f>
        <v>2.8</v>
      </c>
      <c r="I126" s="257">
        <v>-19</v>
      </c>
      <c r="J126" s="257">
        <f>-20.7-I126</f>
        <v>-1.6999999999999993</v>
      </c>
      <c r="K126" s="229">
        <f t="shared" ref="K126:AL126" si="43">SUM(K123:K125)</f>
        <v>-0.11526659759451616</v>
      </c>
      <c r="L126" s="229">
        <f t="shared" si="43"/>
        <v>3.7345751315646574</v>
      </c>
      <c r="M126" s="229">
        <f t="shared" si="43"/>
        <v>2.0996433524920421</v>
      </c>
      <c r="N126" s="229">
        <f t="shared" si="43"/>
        <v>4.4393219435770614</v>
      </c>
      <c r="O126" s="229">
        <f t="shared" si="43"/>
        <v>2.8357493072225171</v>
      </c>
      <c r="P126" s="229">
        <f t="shared" si="43"/>
        <v>5.8051558631367204</v>
      </c>
      <c r="Q126" s="229">
        <f t="shared" si="43"/>
        <v>4.3413531794933959</v>
      </c>
      <c r="R126" s="229">
        <f t="shared" si="43"/>
        <v>6.3714344900780606</v>
      </c>
      <c r="S126" s="229">
        <f t="shared" si="43"/>
        <v>5.2552202015915821</v>
      </c>
      <c r="T126" s="229">
        <f t="shared" si="43"/>
        <v>7.3639002933799897</v>
      </c>
      <c r="U126" s="229">
        <f t="shared" si="43"/>
        <v>5.7943689662747735</v>
      </c>
      <c r="V126" s="229">
        <f t="shared" si="43"/>
        <v>7.9884029533557177</v>
      </c>
      <c r="W126" s="229">
        <f t="shared" si="43"/>
        <v>6.3347282926633444</v>
      </c>
      <c r="X126" s="229">
        <f t="shared" si="43"/>
        <v>8.6297394253037645</v>
      </c>
      <c r="Y126" s="229">
        <f t="shared" si="43"/>
        <v>6.8821736898344419</v>
      </c>
      <c r="Z126" s="229">
        <f t="shared" si="43"/>
        <v>9.281334503785228</v>
      </c>
      <c r="AA126" s="229">
        <f t="shared" si="43"/>
        <v>7.4416104509633101</v>
      </c>
      <c r="AB126" s="229">
        <f t="shared" si="43"/>
        <v>9.9520263985534552</v>
      </c>
      <c r="AC126" s="229">
        <f t="shared" si="43"/>
        <v>8.0172848748338588</v>
      </c>
      <c r="AD126" s="229">
        <f t="shared" si="43"/>
        <v>10.644455537353171</v>
      </c>
      <c r="AE126" s="229">
        <f t="shared" si="43"/>
        <v>8.6129026806647175</v>
      </c>
      <c r="AF126" s="229">
        <f t="shared" si="43"/>
        <v>11.367068854138914</v>
      </c>
      <c r="AG126" s="229">
        <f t="shared" si="43"/>
        <v>9.2317992583197572</v>
      </c>
      <c r="AH126" s="229">
        <f t="shared" si="43"/>
        <v>12.118607046329071</v>
      </c>
      <c r="AI126" s="229">
        <f t="shared" si="43"/>
        <v>9.8769748781484594</v>
      </c>
      <c r="AJ126" s="229">
        <f t="shared" si="43"/>
        <v>12.903800378325613</v>
      </c>
      <c r="AK126" s="229">
        <f t="shared" si="43"/>
        <v>10.551219694041489</v>
      </c>
      <c r="AL126" s="229">
        <f t="shared" si="43"/>
        <v>13.727295160149467</v>
      </c>
    </row>
    <row r="127" spans="1:38" s="237" customFormat="1" outlineLevel="1" x14ac:dyDescent="0.2">
      <c r="A127" s="218"/>
      <c r="B127" s="246"/>
      <c r="C127" s="247"/>
      <c r="D127" s="21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c r="AA127" s="248"/>
      <c r="AB127" s="248"/>
      <c r="AC127" s="248"/>
      <c r="AD127" s="248"/>
      <c r="AE127" s="248"/>
      <c r="AF127" s="248"/>
      <c r="AG127" s="248"/>
      <c r="AH127" s="248"/>
      <c r="AI127" s="248"/>
      <c r="AJ127" s="248"/>
      <c r="AK127" s="248"/>
      <c r="AL127" s="248"/>
    </row>
    <row r="128" spans="1:38" s="237" customFormat="1" outlineLevel="1" x14ac:dyDescent="0.2">
      <c r="B128" s="410" t="s">
        <v>81</v>
      </c>
      <c r="C128" s="205" t="s">
        <v>82</v>
      </c>
      <c r="D128" s="255"/>
      <c r="E128" s="302"/>
      <c r="F128" s="302"/>
      <c r="G128" s="546">
        <f t="shared" ref="G128:AL128" si="44">G126/G507*100</f>
        <v>0.35432941452205574</v>
      </c>
      <c r="H128" s="546">
        <f t="shared" si="44"/>
        <v>0.43619346222552069</v>
      </c>
      <c r="I128" s="546">
        <f t="shared" si="44"/>
        <v>-1.8068315857204944</v>
      </c>
      <c r="J128" s="546">
        <f t="shared" si="44"/>
        <v>-0.16239668481726324</v>
      </c>
      <c r="K128" s="546">
        <f t="shared" si="44"/>
        <v>-1.0964130641011014E-2</v>
      </c>
      <c r="L128" s="546">
        <f t="shared" si="44"/>
        <v>0.35422107271064562</v>
      </c>
      <c r="M128" s="546">
        <f t="shared" si="44"/>
        <v>0.19858420655169606</v>
      </c>
      <c r="N128" s="546">
        <f t="shared" si="44"/>
        <v>0.41868296822798051</v>
      </c>
      <c r="O128" s="546">
        <f t="shared" si="44"/>
        <v>0.26669166472093697</v>
      </c>
      <c r="P128" s="546">
        <f t="shared" si="44"/>
        <v>0.54441728351060792</v>
      </c>
      <c r="Q128" s="546">
        <f t="shared" si="44"/>
        <v>0.40599715223914479</v>
      </c>
      <c r="R128" s="546">
        <f t="shared" si="44"/>
        <v>0.59418045131643837</v>
      </c>
      <c r="S128" s="546">
        <f t="shared" si="44"/>
        <v>0.48871843660342967</v>
      </c>
      <c r="T128" s="546">
        <f t="shared" si="44"/>
        <v>0.68291358444267869</v>
      </c>
      <c r="U128" s="546">
        <f t="shared" si="44"/>
        <v>0.53586748700271147</v>
      </c>
      <c r="V128" s="546">
        <f t="shared" si="44"/>
        <v>0.73672935936837225</v>
      </c>
      <c r="W128" s="546">
        <f t="shared" si="44"/>
        <v>0.58260751518908405</v>
      </c>
      <c r="X128" s="546">
        <f t="shared" si="44"/>
        <v>0.79149678603243712</v>
      </c>
      <c r="Y128" s="546">
        <f t="shared" si="44"/>
        <v>0.62948266263550257</v>
      </c>
      <c r="Z128" s="546">
        <f t="shared" si="44"/>
        <v>0.84660047960384477</v>
      </c>
      <c r="AA128" s="546">
        <f t="shared" si="44"/>
        <v>0.67693693404299682</v>
      </c>
      <c r="AB128" s="546">
        <f t="shared" si="44"/>
        <v>0.90283674158304994</v>
      </c>
      <c r="AC128" s="546">
        <f t="shared" si="44"/>
        <v>0.72534507226992184</v>
      </c>
      <c r="AD128" s="546">
        <f t="shared" si="44"/>
        <v>0.96042541781977286</v>
      </c>
      <c r="AE128" s="546">
        <f t="shared" si="44"/>
        <v>0.7750250835356064</v>
      </c>
      <c r="AF128" s="546">
        <f t="shared" si="44"/>
        <v>1.0201027061881962</v>
      </c>
      <c r="AG128" s="546">
        <f t="shared" si="44"/>
        <v>0.82625499837480609</v>
      </c>
      <c r="AH128" s="546">
        <f t="shared" si="44"/>
        <v>1.0817226418975887</v>
      </c>
      <c r="AI128" s="546">
        <f t="shared" si="44"/>
        <v>0.87927707374581976</v>
      </c>
      <c r="AJ128" s="546">
        <f t="shared" si="44"/>
        <v>1.1456741589199999</v>
      </c>
      <c r="AK128" s="546">
        <f t="shared" si="44"/>
        <v>0.93430981236722155</v>
      </c>
      <c r="AL128" s="546">
        <f t="shared" si="44"/>
        <v>1.2123305330498026</v>
      </c>
    </row>
    <row r="129" spans="1:38" s="237" customFormat="1" outlineLevel="1" x14ac:dyDescent="0.2">
      <c r="A129" s="218"/>
      <c r="B129" s="246"/>
      <c r="C129" s="247"/>
      <c r="D129" s="21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c r="AA129" s="248"/>
      <c r="AB129" s="248"/>
      <c r="AC129" s="248"/>
      <c r="AD129" s="248"/>
      <c r="AE129" s="248"/>
      <c r="AF129" s="248"/>
      <c r="AG129" s="248"/>
      <c r="AH129" s="248"/>
      <c r="AI129" s="248"/>
      <c r="AJ129" s="248"/>
      <c r="AK129" s="248"/>
      <c r="AL129" s="248"/>
    </row>
    <row r="130" spans="1:38" s="237" customFormat="1" outlineLevel="1" x14ac:dyDescent="0.2">
      <c r="A130" s="218"/>
      <c r="B130" s="246"/>
      <c r="C130" s="247"/>
      <c r="D130" s="21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c r="AA130" s="248"/>
      <c r="AB130" s="248"/>
      <c r="AC130" s="248"/>
      <c r="AD130" s="248"/>
      <c r="AE130" s="248"/>
      <c r="AF130" s="248"/>
      <c r="AG130" s="248"/>
      <c r="AH130" s="248"/>
      <c r="AI130" s="248"/>
      <c r="AJ130" s="248"/>
      <c r="AK130" s="248"/>
      <c r="AL130" s="248"/>
    </row>
    <row r="131" spans="1:38" s="237" customFormat="1" outlineLevel="1" x14ac:dyDescent="0.2">
      <c r="A131" s="218"/>
      <c r="B131" s="246"/>
      <c r="C131" s="247"/>
      <c r="D131" s="21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c r="AA131" s="248"/>
      <c r="AB131" s="248"/>
      <c r="AC131" s="248"/>
      <c r="AD131" s="248"/>
      <c r="AE131" s="248"/>
      <c r="AF131" s="248"/>
      <c r="AG131" s="248"/>
      <c r="AH131" s="248"/>
      <c r="AI131" s="248"/>
      <c r="AJ131" s="248"/>
      <c r="AK131" s="248"/>
      <c r="AL131" s="248"/>
    </row>
    <row r="132" spans="1:38" s="237" customFormat="1" outlineLevel="1" x14ac:dyDescent="0.2">
      <c r="A132" s="218"/>
      <c r="B132" s="544" t="s">
        <v>6</v>
      </c>
      <c r="C132" s="247"/>
      <c r="D132" s="21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c r="AA132" s="248"/>
      <c r="AB132" s="248"/>
      <c r="AC132" s="248"/>
      <c r="AD132" s="248"/>
      <c r="AE132" s="248"/>
      <c r="AF132" s="248"/>
      <c r="AG132" s="248"/>
      <c r="AH132" s="248"/>
      <c r="AI132" s="248"/>
      <c r="AJ132" s="248"/>
      <c r="AK132" s="248"/>
      <c r="AL132" s="248"/>
    </row>
    <row r="133" spans="1:38" s="237" customFormat="1" outlineLevel="1" x14ac:dyDescent="0.2">
      <c r="A133" s="218"/>
      <c r="B133" s="531" t="s">
        <v>68</v>
      </c>
      <c r="C133" s="274" t="s">
        <v>37</v>
      </c>
      <c r="D133" s="218"/>
      <c r="E133" s="269"/>
      <c r="F133" s="269"/>
      <c r="G133" s="269">
        <f t="shared" ref="G133:AL133" si="45">G108-SUM(G105:G107)</f>
        <v>0</v>
      </c>
      <c r="H133" s="269">
        <f t="shared" si="45"/>
        <v>0</v>
      </c>
      <c r="I133" s="269">
        <f t="shared" si="45"/>
        <v>0.10000000000006537</v>
      </c>
      <c r="J133" s="269">
        <f t="shared" si="45"/>
        <v>-0.10000000000012221</v>
      </c>
      <c r="K133" s="269">
        <f t="shared" si="45"/>
        <v>0</v>
      </c>
      <c r="L133" s="269">
        <f t="shared" si="45"/>
        <v>0</v>
      </c>
      <c r="M133" s="269">
        <f t="shared" si="45"/>
        <v>0</v>
      </c>
      <c r="N133" s="269">
        <f t="shared" si="45"/>
        <v>0</v>
      </c>
      <c r="O133" s="269">
        <f t="shared" si="45"/>
        <v>0</v>
      </c>
      <c r="P133" s="269">
        <f t="shared" si="45"/>
        <v>0</v>
      </c>
      <c r="Q133" s="269">
        <f t="shared" si="45"/>
        <v>0</v>
      </c>
      <c r="R133" s="269">
        <f t="shared" si="45"/>
        <v>0</v>
      </c>
      <c r="S133" s="269">
        <f t="shared" si="45"/>
        <v>0</v>
      </c>
      <c r="T133" s="269">
        <f t="shared" si="45"/>
        <v>0</v>
      </c>
      <c r="U133" s="269">
        <f t="shared" si="45"/>
        <v>0</v>
      </c>
      <c r="V133" s="269">
        <f t="shared" si="45"/>
        <v>0</v>
      </c>
      <c r="W133" s="269">
        <f t="shared" si="45"/>
        <v>0</v>
      </c>
      <c r="X133" s="269">
        <f t="shared" si="45"/>
        <v>0</v>
      </c>
      <c r="Y133" s="269">
        <f t="shared" si="45"/>
        <v>0</v>
      </c>
      <c r="Z133" s="269">
        <f t="shared" si="45"/>
        <v>0</v>
      </c>
      <c r="AA133" s="269">
        <f t="shared" si="45"/>
        <v>0</v>
      </c>
      <c r="AB133" s="269">
        <f t="shared" si="45"/>
        <v>0</v>
      </c>
      <c r="AC133" s="269">
        <f t="shared" si="45"/>
        <v>0</v>
      </c>
      <c r="AD133" s="269">
        <f t="shared" si="45"/>
        <v>0</v>
      </c>
      <c r="AE133" s="269">
        <f t="shared" si="45"/>
        <v>0</v>
      </c>
      <c r="AF133" s="269">
        <f t="shared" si="45"/>
        <v>0</v>
      </c>
      <c r="AG133" s="269">
        <f t="shared" si="45"/>
        <v>0</v>
      </c>
      <c r="AH133" s="269">
        <f t="shared" si="45"/>
        <v>0</v>
      </c>
      <c r="AI133" s="269">
        <f t="shared" si="45"/>
        <v>0</v>
      </c>
      <c r="AJ133" s="269">
        <f t="shared" si="45"/>
        <v>0</v>
      </c>
      <c r="AK133" s="269">
        <f t="shared" si="45"/>
        <v>0</v>
      </c>
      <c r="AL133" s="269">
        <f t="shared" si="45"/>
        <v>0</v>
      </c>
    </row>
    <row r="134" spans="1:38" s="237" customFormat="1" outlineLevel="1" x14ac:dyDescent="0.2">
      <c r="A134" s="218"/>
      <c r="B134" s="531" t="s">
        <v>60</v>
      </c>
      <c r="C134" s="274" t="s">
        <v>37</v>
      </c>
      <c r="D134" s="218"/>
      <c r="E134" s="269"/>
      <c r="F134" s="269"/>
      <c r="G134" s="269">
        <f t="shared" ref="G134:AL134" si="46">G112-SUM(G108:G111)</f>
        <v>0</v>
      </c>
      <c r="H134" s="269">
        <f t="shared" si="46"/>
        <v>0</v>
      </c>
      <c r="I134" s="269">
        <f t="shared" si="46"/>
        <v>0</v>
      </c>
      <c r="J134" s="269">
        <f t="shared" si="46"/>
        <v>0</v>
      </c>
      <c r="K134" s="269">
        <f t="shared" si="46"/>
        <v>0</v>
      </c>
      <c r="L134" s="269">
        <f t="shared" si="46"/>
        <v>0</v>
      </c>
      <c r="M134" s="269">
        <f t="shared" si="46"/>
        <v>0</v>
      </c>
      <c r="N134" s="269">
        <f t="shared" si="46"/>
        <v>0</v>
      </c>
      <c r="O134" s="269">
        <f t="shared" si="46"/>
        <v>0</v>
      </c>
      <c r="P134" s="269">
        <f t="shared" si="46"/>
        <v>0</v>
      </c>
      <c r="Q134" s="269">
        <f t="shared" si="46"/>
        <v>0</v>
      </c>
      <c r="R134" s="269">
        <f t="shared" si="46"/>
        <v>0</v>
      </c>
      <c r="S134" s="269">
        <f t="shared" si="46"/>
        <v>0</v>
      </c>
      <c r="T134" s="269">
        <f t="shared" si="46"/>
        <v>0</v>
      </c>
      <c r="U134" s="269">
        <f t="shared" si="46"/>
        <v>0</v>
      </c>
      <c r="V134" s="269">
        <f t="shared" si="46"/>
        <v>0</v>
      </c>
      <c r="W134" s="269">
        <f t="shared" si="46"/>
        <v>0</v>
      </c>
      <c r="X134" s="269">
        <f t="shared" si="46"/>
        <v>0</v>
      </c>
      <c r="Y134" s="269">
        <f t="shared" si="46"/>
        <v>0</v>
      </c>
      <c r="Z134" s="269">
        <f t="shared" si="46"/>
        <v>0</v>
      </c>
      <c r="AA134" s="269">
        <f t="shared" si="46"/>
        <v>0</v>
      </c>
      <c r="AB134" s="269">
        <f t="shared" si="46"/>
        <v>0</v>
      </c>
      <c r="AC134" s="269">
        <f t="shared" si="46"/>
        <v>0</v>
      </c>
      <c r="AD134" s="269">
        <f t="shared" si="46"/>
        <v>0</v>
      </c>
      <c r="AE134" s="269">
        <f t="shared" si="46"/>
        <v>0</v>
      </c>
      <c r="AF134" s="269">
        <f t="shared" si="46"/>
        <v>0</v>
      </c>
      <c r="AG134" s="269">
        <f t="shared" si="46"/>
        <v>0</v>
      </c>
      <c r="AH134" s="269">
        <f t="shared" si="46"/>
        <v>0</v>
      </c>
      <c r="AI134" s="269">
        <f t="shared" si="46"/>
        <v>0</v>
      </c>
      <c r="AJ134" s="269">
        <f t="shared" si="46"/>
        <v>0</v>
      </c>
      <c r="AK134" s="269">
        <f t="shared" si="46"/>
        <v>0</v>
      </c>
      <c r="AL134" s="269">
        <f t="shared" si="46"/>
        <v>0</v>
      </c>
    </row>
    <row r="135" spans="1:38" s="237" customFormat="1" outlineLevel="1" x14ac:dyDescent="0.2">
      <c r="A135" s="218"/>
      <c r="B135" s="531" t="s">
        <v>72</v>
      </c>
      <c r="C135" s="274" t="s">
        <v>37</v>
      </c>
      <c r="D135" s="218"/>
      <c r="E135" s="248"/>
      <c r="F135" s="248"/>
      <c r="G135" s="269">
        <f t="shared" ref="G135:AL135" si="47">G115-SUM(G112:G114)</f>
        <v>0</v>
      </c>
      <c r="H135" s="269">
        <f t="shared" si="47"/>
        <v>0</v>
      </c>
      <c r="I135" s="269">
        <f t="shared" si="47"/>
        <v>0</v>
      </c>
      <c r="J135" s="269">
        <f t="shared" si="47"/>
        <v>0</v>
      </c>
      <c r="K135" s="269">
        <f t="shared" si="47"/>
        <v>0</v>
      </c>
      <c r="L135" s="269">
        <f t="shared" si="47"/>
        <v>0</v>
      </c>
      <c r="M135" s="269">
        <f t="shared" si="47"/>
        <v>0</v>
      </c>
      <c r="N135" s="269">
        <f t="shared" si="47"/>
        <v>0</v>
      </c>
      <c r="O135" s="269">
        <f t="shared" si="47"/>
        <v>0</v>
      </c>
      <c r="P135" s="269">
        <f t="shared" si="47"/>
        <v>0</v>
      </c>
      <c r="Q135" s="269">
        <f t="shared" si="47"/>
        <v>0</v>
      </c>
      <c r="R135" s="269">
        <f t="shared" si="47"/>
        <v>0</v>
      </c>
      <c r="S135" s="269">
        <f t="shared" si="47"/>
        <v>0</v>
      </c>
      <c r="T135" s="269">
        <f t="shared" si="47"/>
        <v>0</v>
      </c>
      <c r="U135" s="269">
        <f t="shared" si="47"/>
        <v>0</v>
      </c>
      <c r="V135" s="269">
        <f t="shared" si="47"/>
        <v>0</v>
      </c>
      <c r="W135" s="269">
        <f t="shared" si="47"/>
        <v>0</v>
      </c>
      <c r="X135" s="269">
        <f t="shared" si="47"/>
        <v>0</v>
      </c>
      <c r="Y135" s="269">
        <f t="shared" si="47"/>
        <v>0</v>
      </c>
      <c r="Z135" s="269">
        <f t="shared" si="47"/>
        <v>0</v>
      </c>
      <c r="AA135" s="269">
        <f t="shared" si="47"/>
        <v>0</v>
      </c>
      <c r="AB135" s="269">
        <f t="shared" si="47"/>
        <v>0</v>
      </c>
      <c r="AC135" s="269">
        <f t="shared" si="47"/>
        <v>0</v>
      </c>
      <c r="AD135" s="269">
        <f t="shared" si="47"/>
        <v>0</v>
      </c>
      <c r="AE135" s="269">
        <f t="shared" si="47"/>
        <v>0</v>
      </c>
      <c r="AF135" s="269">
        <f t="shared" si="47"/>
        <v>0</v>
      </c>
      <c r="AG135" s="269">
        <f t="shared" si="47"/>
        <v>0</v>
      </c>
      <c r="AH135" s="269">
        <f t="shared" si="47"/>
        <v>0</v>
      </c>
      <c r="AI135" s="269">
        <f t="shared" si="47"/>
        <v>0</v>
      </c>
      <c r="AJ135" s="269">
        <f t="shared" si="47"/>
        <v>0</v>
      </c>
      <c r="AK135" s="269">
        <f t="shared" si="47"/>
        <v>0</v>
      </c>
      <c r="AL135" s="269">
        <f t="shared" si="47"/>
        <v>0</v>
      </c>
    </row>
    <row r="136" spans="1:38" s="237" customFormat="1" outlineLevel="1" x14ac:dyDescent="0.2">
      <c r="A136" s="218"/>
      <c r="B136" s="531" t="s">
        <v>75</v>
      </c>
      <c r="C136" s="274" t="s">
        <v>37</v>
      </c>
      <c r="D136" s="218"/>
      <c r="E136" s="248"/>
      <c r="F136" s="248"/>
      <c r="G136" s="269">
        <f t="shared" ref="G136:AL136" si="48">G119-SUM(G115:G118)</f>
        <v>0.10000000000000209</v>
      </c>
      <c r="H136" s="269">
        <f t="shared" si="48"/>
        <v>-0.10000000000000853</v>
      </c>
      <c r="I136" s="269">
        <f t="shared" si="48"/>
        <v>0</v>
      </c>
      <c r="J136" s="269">
        <f t="shared" si="48"/>
        <v>0.10000000000000675</v>
      </c>
      <c r="K136" s="269">
        <f t="shared" si="48"/>
        <v>0</v>
      </c>
      <c r="L136" s="269">
        <f t="shared" si="48"/>
        <v>0</v>
      </c>
      <c r="M136" s="269">
        <f t="shared" si="48"/>
        <v>0</v>
      </c>
      <c r="N136" s="269">
        <f t="shared" si="48"/>
        <v>0</v>
      </c>
      <c r="O136" s="269">
        <f t="shared" si="48"/>
        <v>0</v>
      </c>
      <c r="P136" s="269">
        <f t="shared" si="48"/>
        <v>0</v>
      </c>
      <c r="Q136" s="269">
        <f t="shared" si="48"/>
        <v>0</v>
      </c>
      <c r="R136" s="269">
        <f t="shared" si="48"/>
        <v>0</v>
      </c>
      <c r="S136" s="269">
        <f t="shared" si="48"/>
        <v>0</v>
      </c>
      <c r="T136" s="269">
        <f t="shared" si="48"/>
        <v>0</v>
      </c>
      <c r="U136" s="269">
        <f t="shared" si="48"/>
        <v>0</v>
      </c>
      <c r="V136" s="269">
        <f t="shared" si="48"/>
        <v>0</v>
      </c>
      <c r="W136" s="269">
        <f t="shared" si="48"/>
        <v>0</v>
      </c>
      <c r="X136" s="269">
        <f t="shared" si="48"/>
        <v>0</v>
      </c>
      <c r="Y136" s="269">
        <f t="shared" si="48"/>
        <v>0</v>
      </c>
      <c r="Z136" s="269">
        <f t="shared" si="48"/>
        <v>0</v>
      </c>
      <c r="AA136" s="269">
        <f t="shared" si="48"/>
        <v>0</v>
      </c>
      <c r="AB136" s="269">
        <f t="shared" si="48"/>
        <v>0</v>
      </c>
      <c r="AC136" s="269">
        <f t="shared" si="48"/>
        <v>0</v>
      </c>
      <c r="AD136" s="269">
        <f t="shared" si="48"/>
        <v>0</v>
      </c>
      <c r="AE136" s="269">
        <f t="shared" si="48"/>
        <v>0</v>
      </c>
      <c r="AF136" s="269">
        <f t="shared" si="48"/>
        <v>0</v>
      </c>
      <c r="AG136" s="269">
        <f t="shared" si="48"/>
        <v>0</v>
      </c>
      <c r="AH136" s="269">
        <f t="shared" si="48"/>
        <v>0</v>
      </c>
      <c r="AI136" s="269">
        <f t="shared" si="48"/>
        <v>0</v>
      </c>
      <c r="AJ136" s="269">
        <f t="shared" si="48"/>
        <v>0</v>
      </c>
      <c r="AK136" s="269">
        <f t="shared" si="48"/>
        <v>0</v>
      </c>
      <c r="AL136" s="269">
        <f t="shared" si="48"/>
        <v>0</v>
      </c>
    </row>
    <row r="137" spans="1:38" s="237" customFormat="1" outlineLevel="1" x14ac:dyDescent="0.2">
      <c r="A137" s="218"/>
      <c r="B137" s="531" t="s">
        <v>83</v>
      </c>
      <c r="C137" s="274" t="s">
        <v>37</v>
      </c>
      <c r="D137" s="218"/>
      <c r="E137" s="248"/>
      <c r="F137" s="248"/>
      <c r="G137" s="269">
        <f t="shared" ref="G137:AL137" si="49">G123-SUM(G119:G122)</f>
        <v>0</v>
      </c>
      <c r="H137" s="269">
        <f t="shared" si="49"/>
        <v>0</v>
      </c>
      <c r="I137" s="269">
        <f t="shared" si="49"/>
        <v>9.9999999999997868E-2</v>
      </c>
      <c r="J137" s="269">
        <f t="shared" si="49"/>
        <v>-0.10000000000000009</v>
      </c>
      <c r="K137" s="269">
        <f t="shared" si="49"/>
        <v>0</v>
      </c>
      <c r="L137" s="269">
        <f t="shared" si="49"/>
        <v>0</v>
      </c>
      <c r="M137" s="269">
        <f t="shared" si="49"/>
        <v>0</v>
      </c>
      <c r="N137" s="269">
        <f t="shared" si="49"/>
        <v>0</v>
      </c>
      <c r="O137" s="269">
        <f t="shared" si="49"/>
        <v>0</v>
      </c>
      <c r="P137" s="269">
        <f t="shared" si="49"/>
        <v>0</v>
      </c>
      <c r="Q137" s="269">
        <f t="shared" si="49"/>
        <v>0</v>
      </c>
      <c r="R137" s="269">
        <f t="shared" si="49"/>
        <v>0</v>
      </c>
      <c r="S137" s="269">
        <f t="shared" si="49"/>
        <v>0</v>
      </c>
      <c r="T137" s="269">
        <f t="shared" si="49"/>
        <v>0</v>
      </c>
      <c r="U137" s="269">
        <f t="shared" si="49"/>
        <v>0</v>
      </c>
      <c r="V137" s="269">
        <f t="shared" si="49"/>
        <v>0</v>
      </c>
      <c r="W137" s="269">
        <f t="shared" si="49"/>
        <v>0</v>
      </c>
      <c r="X137" s="269">
        <f t="shared" si="49"/>
        <v>0</v>
      </c>
      <c r="Y137" s="269">
        <f t="shared" si="49"/>
        <v>0</v>
      </c>
      <c r="Z137" s="269">
        <f t="shared" si="49"/>
        <v>0</v>
      </c>
      <c r="AA137" s="269">
        <f t="shared" si="49"/>
        <v>0</v>
      </c>
      <c r="AB137" s="269">
        <f t="shared" si="49"/>
        <v>0</v>
      </c>
      <c r="AC137" s="269">
        <f t="shared" si="49"/>
        <v>0</v>
      </c>
      <c r="AD137" s="269">
        <f t="shared" si="49"/>
        <v>0</v>
      </c>
      <c r="AE137" s="269">
        <f t="shared" si="49"/>
        <v>0</v>
      </c>
      <c r="AF137" s="269">
        <f t="shared" si="49"/>
        <v>0</v>
      </c>
      <c r="AG137" s="269">
        <f t="shared" si="49"/>
        <v>0</v>
      </c>
      <c r="AH137" s="269">
        <f t="shared" si="49"/>
        <v>0</v>
      </c>
      <c r="AI137" s="269">
        <f t="shared" si="49"/>
        <v>0</v>
      </c>
      <c r="AJ137" s="269">
        <f t="shared" si="49"/>
        <v>0</v>
      </c>
      <c r="AK137" s="269">
        <f t="shared" si="49"/>
        <v>0</v>
      </c>
      <c r="AL137" s="269">
        <f t="shared" si="49"/>
        <v>0</v>
      </c>
    </row>
    <row r="138" spans="1:38" s="237" customFormat="1" outlineLevel="1" x14ac:dyDescent="0.2">
      <c r="A138" s="218"/>
      <c r="B138" s="531" t="s">
        <v>84</v>
      </c>
      <c r="C138" s="274" t="s">
        <v>37</v>
      </c>
      <c r="D138" s="218"/>
      <c r="E138" s="248"/>
      <c r="F138" s="248"/>
      <c r="G138" s="269">
        <f t="shared" ref="G138:AL138" si="50">G126-SUM(G123:G125)</f>
        <v>0</v>
      </c>
      <c r="H138" s="269">
        <f t="shared" si="50"/>
        <v>0</v>
      </c>
      <c r="I138" s="269">
        <f t="shared" si="50"/>
        <v>0</v>
      </c>
      <c r="J138" s="269">
        <f t="shared" ref="J138" si="51">J126-SUM(J123:J125)</f>
        <v>0</v>
      </c>
      <c r="K138" s="269">
        <f t="shared" si="50"/>
        <v>0</v>
      </c>
      <c r="L138" s="269">
        <f t="shared" si="50"/>
        <v>0</v>
      </c>
      <c r="M138" s="269">
        <f t="shared" si="50"/>
        <v>0</v>
      </c>
      <c r="N138" s="269">
        <f t="shared" si="50"/>
        <v>0</v>
      </c>
      <c r="O138" s="269">
        <f t="shared" si="50"/>
        <v>0</v>
      </c>
      <c r="P138" s="269">
        <f t="shared" si="50"/>
        <v>0</v>
      </c>
      <c r="Q138" s="269">
        <f t="shared" si="50"/>
        <v>0</v>
      </c>
      <c r="R138" s="269">
        <f t="shared" si="50"/>
        <v>0</v>
      </c>
      <c r="S138" s="269">
        <f t="shared" si="50"/>
        <v>0</v>
      </c>
      <c r="T138" s="269">
        <f t="shared" si="50"/>
        <v>0</v>
      </c>
      <c r="U138" s="269">
        <f t="shared" si="50"/>
        <v>0</v>
      </c>
      <c r="V138" s="269">
        <f t="shared" si="50"/>
        <v>0</v>
      </c>
      <c r="W138" s="269">
        <f t="shared" si="50"/>
        <v>0</v>
      </c>
      <c r="X138" s="269">
        <f t="shared" si="50"/>
        <v>0</v>
      </c>
      <c r="Y138" s="269">
        <f t="shared" si="50"/>
        <v>0</v>
      </c>
      <c r="Z138" s="269">
        <f t="shared" si="50"/>
        <v>0</v>
      </c>
      <c r="AA138" s="269">
        <f t="shared" si="50"/>
        <v>0</v>
      </c>
      <c r="AB138" s="269">
        <f t="shared" si="50"/>
        <v>0</v>
      </c>
      <c r="AC138" s="269">
        <f t="shared" si="50"/>
        <v>0</v>
      </c>
      <c r="AD138" s="269">
        <f t="shared" si="50"/>
        <v>0</v>
      </c>
      <c r="AE138" s="269">
        <f t="shared" si="50"/>
        <v>0</v>
      </c>
      <c r="AF138" s="269">
        <f t="shared" si="50"/>
        <v>0</v>
      </c>
      <c r="AG138" s="269">
        <f t="shared" si="50"/>
        <v>0</v>
      </c>
      <c r="AH138" s="269">
        <f t="shared" si="50"/>
        <v>0</v>
      </c>
      <c r="AI138" s="269">
        <f t="shared" si="50"/>
        <v>0</v>
      </c>
      <c r="AJ138" s="269">
        <f t="shared" si="50"/>
        <v>0</v>
      </c>
      <c r="AK138" s="269">
        <f t="shared" si="50"/>
        <v>0</v>
      </c>
      <c r="AL138" s="269">
        <f t="shared" si="50"/>
        <v>0</v>
      </c>
    </row>
    <row r="139" spans="1:38" s="237" customFormat="1" outlineLevel="1" x14ac:dyDescent="0.2">
      <c r="A139" s="218"/>
      <c r="B139" s="531"/>
      <c r="C139" s="247"/>
      <c r="D139" s="218"/>
      <c r="E139" s="248"/>
      <c r="F139" s="248"/>
      <c r="G139" s="248"/>
      <c r="H139" s="248"/>
      <c r="I139" s="545"/>
      <c r="J139" s="248"/>
      <c r="K139" s="248"/>
      <c r="L139" s="248"/>
      <c r="M139" s="248"/>
      <c r="N139" s="248"/>
      <c r="O139" s="248"/>
      <c r="P139" s="248"/>
      <c r="Q139" s="248"/>
      <c r="R139" s="248"/>
      <c r="S139" s="248"/>
      <c r="T139" s="248"/>
      <c r="U139" s="248"/>
      <c r="V139" s="248"/>
      <c r="W139" s="248"/>
      <c r="X139" s="248"/>
      <c r="Y139" s="248"/>
      <c r="Z139" s="248"/>
      <c r="AA139" s="248"/>
      <c r="AB139" s="248"/>
      <c r="AC139" s="248"/>
      <c r="AD139" s="248"/>
      <c r="AE139" s="248"/>
      <c r="AF139" s="248"/>
      <c r="AG139" s="248"/>
      <c r="AH139" s="248"/>
      <c r="AI139" s="248"/>
      <c r="AJ139" s="248"/>
      <c r="AK139" s="248"/>
      <c r="AL139" s="248"/>
    </row>
    <row r="140" spans="1:38" s="237" customFormat="1" outlineLevel="1" x14ac:dyDescent="0.2">
      <c r="A140" s="218"/>
      <c r="B140" s="246"/>
      <c r="C140" s="247"/>
      <c r="D140" s="218"/>
      <c r="E140" s="248"/>
      <c r="F140" s="248"/>
      <c r="G140" s="248"/>
      <c r="H140" s="248"/>
      <c r="I140" s="248"/>
      <c r="J140" s="248"/>
      <c r="K140" s="606"/>
      <c r="L140" s="248"/>
      <c r="M140" s="248"/>
      <c r="N140" s="248"/>
      <c r="O140" s="248"/>
      <c r="P140" s="248"/>
      <c r="Q140" s="248"/>
      <c r="R140" s="248"/>
      <c r="S140" s="248"/>
      <c r="T140" s="248"/>
      <c r="U140" s="248"/>
      <c r="V140" s="248"/>
      <c r="W140" s="248"/>
      <c r="X140" s="248"/>
      <c r="Y140" s="248"/>
      <c r="Z140" s="248"/>
      <c r="AA140" s="248"/>
      <c r="AB140" s="248"/>
      <c r="AC140" s="248"/>
      <c r="AD140" s="248"/>
      <c r="AE140" s="248"/>
      <c r="AF140" s="248"/>
      <c r="AG140" s="248"/>
      <c r="AH140" s="248"/>
      <c r="AI140" s="248"/>
      <c r="AJ140" s="248"/>
      <c r="AK140" s="248"/>
      <c r="AL140" s="248"/>
    </row>
    <row r="141" spans="1:38" s="237" customFormat="1" outlineLevel="1" x14ac:dyDescent="0.2">
      <c r="A141" s="218"/>
      <c r="B141" s="246" t="s">
        <v>85</v>
      </c>
      <c r="C141" s="247"/>
      <c r="D141" s="21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c r="AA141" s="248"/>
      <c r="AB141" s="248"/>
      <c r="AC141" s="248"/>
      <c r="AD141" s="248"/>
      <c r="AE141" s="248"/>
      <c r="AF141" s="248"/>
      <c r="AG141" s="248"/>
      <c r="AH141" s="248"/>
      <c r="AI141" s="248"/>
      <c r="AJ141" s="248"/>
      <c r="AK141" s="248"/>
      <c r="AL141" s="248"/>
    </row>
    <row r="142" spans="1:38" s="237" customFormat="1" outlineLevel="1" x14ac:dyDescent="0.2">
      <c r="B142" s="410" t="s">
        <v>60</v>
      </c>
      <c r="C142" s="241" t="s">
        <v>37</v>
      </c>
      <c r="D142" s="238"/>
      <c r="E142" s="257">
        <v>27.9</v>
      </c>
      <c r="F142" s="257">
        <f>57.6-E142</f>
        <v>29.700000000000003</v>
      </c>
      <c r="G142" s="257">
        <v>63.6</v>
      </c>
      <c r="H142" s="257">
        <f>134.6-G142</f>
        <v>71</v>
      </c>
      <c r="I142" s="257">
        <v>68.900000000000006</v>
      </c>
      <c r="J142" s="257">
        <f>143.8-I142</f>
        <v>74.900000000000006</v>
      </c>
      <c r="K142" s="229">
        <f t="shared" ref="K142:AL142" si="52">K112+K163</f>
        <v>83.959199999999996</v>
      </c>
      <c r="L142" s="229">
        <f t="shared" si="52"/>
        <v>82.705632727272757</v>
      </c>
      <c r="M142" s="229">
        <f t="shared" si="52"/>
        <v>88.15715999999999</v>
      </c>
      <c r="N142" s="229">
        <f t="shared" si="52"/>
        <v>86.840914363636386</v>
      </c>
      <c r="O142" s="229">
        <f t="shared" si="52"/>
        <v>92.565017999999995</v>
      </c>
      <c r="P142" s="229">
        <f t="shared" si="52"/>
        <v>91.182960081818209</v>
      </c>
      <c r="Q142" s="229">
        <f t="shared" si="52"/>
        <v>97.193268900000007</v>
      </c>
      <c r="R142" s="229">
        <f t="shared" si="52"/>
        <v>95.742108085909138</v>
      </c>
      <c r="S142" s="229">
        <f t="shared" si="52"/>
        <v>102.05293234499999</v>
      </c>
      <c r="T142" s="229">
        <f t="shared" si="52"/>
        <v>100.5292134902046</v>
      </c>
      <c r="U142" s="229">
        <f t="shared" si="52"/>
        <v>107.15557896225002</v>
      </c>
      <c r="V142" s="229">
        <f t="shared" si="52"/>
        <v>105.55567416471484</v>
      </c>
      <c r="W142" s="229">
        <f t="shared" si="52"/>
        <v>112.51335791036249</v>
      </c>
      <c r="X142" s="229">
        <f t="shared" si="52"/>
        <v>110.83345787295059</v>
      </c>
      <c r="Y142" s="229">
        <f t="shared" si="52"/>
        <v>118.13902580588061</v>
      </c>
      <c r="Z142" s="229">
        <f t="shared" si="52"/>
        <v>116.37513076659812</v>
      </c>
      <c r="AA142" s="229">
        <f t="shared" si="52"/>
        <v>124.04597709617465</v>
      </c>
      <c r="AB142" s="229">
        <f t="shared" si="52"/>
        <v>122.19388730492804</v>
      </c>
      <c r="AC142" s="229">
        <f t="shared" si="52"/>
        <v>130.24827595098341</v>
      </c>
      <c r="AD142" s="229">
        <f t="shared" si="52"/>
        <v>128.30358167017445</v>
      </c>
      <c r="AE142" s="229">
        <f t="shared" si="52"/>
        <v>136.7606897485326</v>
      </c>
      <c r="AF142" s="229">
        <f t="shared" si="52"/>
        <v>134.71876075368314</v>
      </c>
      <c r="AG142" s="229">
        <f t="shared" si="52"/>
        <v>143.59872423595922</v>
      </c>
      <c r="AH142" s="229">
        <f t="shared" si="52"/>
        <v>141.45469879136738</v>
      </c>
      <c r="AI142" s="229">
        <f t="shared" si="52"/>
        <v>150.77866044775718</v>
      </c>
      <c r="AJ142" s="229">
        <f t="shared" si="52"/>
        <v>148.52743373093571</v>
      </c>
      <c r="AK142" s="229">
        <f t="shared" si="52"/>
        <v>158.31759347014506</v>
      </c>
      <c r="AL142" s="229">
        <f t="shared" si="52"/>
        <v>155.9538054174825</v>
      </c>
    </row>
    <row r="143" spans="1:38" s="237" customFormat="1" outlineLevel="1" x14ac:dyDescent="0.2">
      <c r="A143" s="218"/>
      <c r="B143" s="246"/>
      <c r="C143" s="247"/>
      <c r="D143" s="21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c r="AA143" s="248"/>
      <c r="AB143" s="248"/>
      <c r="AC143" s="248"/>
      <c r="AD143" s="248"/>
      <c r="AE143" s="248"/>
      <c r="AF143" s="248"/>
      <c r="AG143" s="248"/>
      <c r="AH143" s="248"/>
      <c r="AI143" s="248"/>
      <c r="AJ143" s="248"/>
      <c r="AK143" s="248"/>
      <c r="AL143" s="248"/>
    </row>
    <row r="144" spans="1:38" s="237" customFormat="1" outlineLevel="1" x14ac:dyDescent="0.2">
      <c r="B144" s="410" t="s">
        <v>75</v>
      </c>
      <c r="C144" s="241" t="s">
        <v>37</v>
      </c>
      <c r="D144" s="238"/>
      <c r="E144" s="257">
        <v>-9.3000000000000007</v>
      </c>
      <c r="F144" s="257">
        <f>-5.1-E144</f>
        <v>4.2000000000000011</v>
      </c>
      <c r="G144" s="257">
        <v>2</v>
      </c>
      <c r="H144" s="257">
        <f>-7.4-G144</f>
        <v>-9.4</v>
      </c>
      <c r="I144" s="257">
        <v>-24.7</v>
      </c>
      <c r="J144" s="257">
        <f>-24.3-I144</f>
        <v>0.39999999999999858</v>
      </c>
      <c r="K144" s="229">
        <f t="shared" ref="K144:AL144" si="53">K119+K164</f>
        <v>1.1848803647058688</v>
      </c>
      <c r="L144" s="229">
        <f t="shared" si="53"/>
        <v>6.6296798535279198</v>
      </c>
      <c r="M144" s="229">
        <f t="shared" si="53"/>
        <v>6.304235643541177</v>
      </c>
      <c r="N144" s="229">
        <f t="shared" si="53"/>
        <v>9.6975861495059963</v>
      </c>
      <c r="O144" s="229">
        <f t="shared" si="53"/>
        <v>9.4410185459682321</v>
      </c>
      <c r="P144" s="229">
        <f t="shared" si="53"/>
        <v>13.790090734106656</v>
      </c>
      <c r="Q144" s="229">
        <f t="shared" si="53"/>
        <v>11.635196635696149</v>
      </c>
      <c r="R144" s="229">
        <f t="shared" si="53"/>
        <v>14.485775270812008</v>
      </c>
      <c r="S144" s="229">
        <f t="shared" si="53"/>
        <v>12.823903374331266</v>
      </c>
      <c r="T144" s="229">
        <f t="shared" si="53"/>
        <v>15.808043855742449</v>
      </c>
      <c r="U144" s="229">
        <f t="shared" si="53"/>
        <v>13.471654905047849</v>
      </c>
      <c r="V144" s="229">
        <f t="shared" si="53"/>
        <v>16.605002410529575</v>
      </c>
      <c r="W144" s="229">
        <f t="shared" si="53"/>
        <v>14.151990703160216</v>
      </c>
      <c r="X144" s="229">
        <f t="shared" si="53"/>
        <v>17.442005583916053</v>
      </c>
      <c r="Y144" s="229">
        <f t="shared" si="53"/>
        <v>14.866545882764024</v>
      </c>
      <c r="Z144" s="229">
        <f t="shared" si="53"/>
        <v>18.321061507557648</v>
      </c>
      <c r="AA144" s="229">
        <f t="shared" si="53"/>
        <v>15.617037490681421</v>
      </c>
      <c r="AB144" s="229">
        <f t="shared" si="53"/>
        <v>19.244278896714722</v>
      </c>
      <c r="AC144" s="229">
        <f t="shared" si="53"/>
        <v>16.405268608408043</v>
      </c>
      <c r="AD144" s="229">
        <f t="shared" si="53"/>
        <v>20.213872084743009</v>
      </c>
      <c r="AE144" s="229">
        <f t="shared" si="53"/>
        <v>17.23313265931678</v>
      </c>
      <c r="AF144" s="229">
        <f t="shared" si="53"/>
        <v>21.23216630946845</v>
      </c>
      <c r="AG144" s="229">
        <f t="shared" si="53"/>
        <v>18.102617931385559</v>
      </c>
      <c r="AH144" s="229">
        <f t="shared" si="53"/>
        <v>22.301603264044889</v>
      </c>
      <c r="AI144" s="229">
        <f t="shared" si="53"/>
        <v>19.015812326230908</v>
      </c>
      <c r="AJ144" s="229">
        <f t="shared" si="53"/>
        <v>23.424746925523184</v>
      </c>
      <c r="AK144" s="229">
        <f t="shared" si="53"/>
        <v>19.974908345766838</v>
      </c>
      <c r="AL144" s="229">
        <f t="shared" si="53"/>
        <v>24.604289675023686</v>
      </c>
    </row>
    <row r="145" spans="1:38" s="237" customFormat="1" outlineLevel="1" x14ac:dyDescent="0.2">
      <c r="B145" s="410"/>
      <c r="C145" s="241"/>
      <c r="D145" s="238"/>
      <c r="E145" s="257"/>
      <c r="F145" s="257"/>
      <c r="G145" s="257"/>
      <c r="H145" s="257"/>
      <c r="I145" s="257"/>
      <c r="J145" s="257"/>
      <c r="K145" s="229"/>
      <c r="L145" s="229"/>
      <c r="M145" s="229"/>
      <c r="N145" s="229"/>
      <c r="O145" s="229"/>
      <c r="P145" s="229"/>
      <c r="Q145" s="229"/>
      <c r="R145" s="229"/>
      <c r="S145" s="229"/>
      <c r="T145" s="229"/>
      <c r="U145" s="229"/>
      <c r="V145" s="229"/>
      <c r="W145" s="229"/>
      <c r="X145" s="229"/>
      <c r="Y145" s="229"/>
      <c r="Z145" s="229"/>
      <c r="AA145" s="229"/>
      <c r="AB145" s="229"/>
      <c r="AC145" s="229"/>
      <c r="AD145" s="229"/>
      <c r="AE145" s="229"/>
      <c r="AF145" s="229"/>
      <c r="AG145" s="229"/>
      <c r="AH145" s="229"/>
      <c r="AI145" s="229"/>
      <c r="AJ145" s="229"/>
      <c r="AK145" s="229"/>
      <c r="AL145" s="229"/>
    </row>
    <row r="146" spans="1:38" s="237" customFormat="1" outlineLevel="1" x14ac:dyDescent="0.2">
      <c r="A146" s="218"/>
      <c r="B146" s="410" t="s">
        <v>84</v>
      </c>
      <c r="C146" s="247" t="s">
        <v>37</v>
      </c>
      <c r="D146" s="218"/>
      <c r="E146" s="257">
        <v>-10.3</v>
      </c>
      <c r="F146" s="257">
        <f>-6-E146</f>
        <v>4.3000000000000007</v>
      </c>
      <c r="G146" s="257">
        <v>-8.8000000000000007</v>
      </c>
      <c r="H146" s="257">
        <f>-14.8-G146</f>
        <v>-6</v>
      </c>
      <c r="I146" s="257">
        <v>-32.6</v>
      </c>
      <c r="J146" s="257">
        <f>-40.6-I146</f>
        <v>-8</v>
      </c>
      <c r="K146" s="248">
        <f t="shared" ref="K146:AL146" si="54">K126+K165</f>
        <v>-4.4277665975945162</v>
      </c>
      <c r="L146" s="248">
        <f t="shared" si="54"/>
        <v>-0.61005763679692571</v>
      </c>
      <c r="M146" s="248">
        <f t="shared" si="54"/>
        <v>-0.22403640490795773</v>
      </c>
      <c r="N146" s="248">
        <f t="shared" si="54"/>
        <v>1.1844557854990931</v>
      </c>
      <c r="O146" s="248">
        <f t="shared" si="54"/>
        <v>1.6240732216025169</v>
      </c>
      <c r="P146" s="248">
        <f t="shared" si="54"/>
        <v>4.71688723456022</v>
      </c>
      <c r="Q146" s="248">
        <f t="shared" si="54"/>
        <v>3.1813515151718956</v>
      </c>
      <c r="R146" s="248">
        <f t="shared" si="54"/>
        <v>5.2287524300727348</v>
      </c>
      <c r="S146" s="248">
        <f t="shared" si="54"/>
        <v>4.076508833006832</v>
      </c>
      <c r="T146" s="248">
        <f t="shared" si="54"/>
        <v>6.2027878775681264</v>
      </c>
      <c r="U146" s="248">
        <f t="shared" si="54"/>
        <v>4.5567220292607855</v>
      </c>
      <c r="V146" s="248">
        <f t="shared" si="54"/>
        <v>6.7692349167532608</v>
      </c>
      <c r="W146" s="248">
        <f t="shared" si="54"/>
        <v>5.0351990087986573</v>
      </c>
      <c r="X146" s="248">
        <f t="shared" si="54"/>
        <v>7.3496129868711852</v>
      </c>
      <c r="Y146" s="248">
        <f t="shared" si="54"/>
        <v>5.5176679417765211</v>
      </c>
      <c r="Z146" s="248">
        <f t="shared" si="54"/>
        <v>7.9372017434310198</v>
      </c>
      <c r="AA146" s="248">
        <f t="shared" si="54"/>
        <v>6.0088794155024932</v>
      </c>
      <c r="AB146" s="248">
        <f t="shared" si="54"/>
        <v>8.5406870001815367</v>
      </c>
      <c r="AC146" s="248">
        <f t="shared" si="54"/>
        <v>6.5129172876000005</v>
      </c>
      <c r="AD146" s="248">
        <f t="shared" si="54"/>
        <v>9.1625491690626557</v>
      </c>
      <c r="AE146" s="248">
        <f t="shared" si="54"/>
        <v>7.0333167140691657</v>
      </c>
      <c r="AF146" s="248">
        <f t="shared" si="54"/>
        <v>9.8110671674338743</v>
      </c>
      <c r="AG146" s="248">
        <f t="shared" si="54"/>
        <v>7.5732339933944282</v>
      </c>
      <c r="AH146" s="248">
        <f t="shared" si="54"/>
        <v>10.484805275288778</v>
      </c>
      <c r="AI146" s="248">
        <f t="shared" si="54"/>
        <v>8.1354813499768639</v>
      </c>
      <c r="AJ146" s="248">
        <f t="shared" si="54"/>
        <v>11.188308518733304</v>
      </c>
      <c r="AK146" s="248">
        <f t="shared" si="54"/>
        <v>8.7226514894613132</v>
      </c>
      <c r="AL146" s="248">
        <f t="shared" si="54"/>
        <v>11.926028707577544</v>
      </c>
    </row>
    <row r="147" spans="1:38" s="237" customFormat="1" outlineLevel="1" x14ac:dyDescent="0.2">
      <c r="A147" s="218"/>
      <c r="B147" s="413" t="s">
        <v>86</v>
      </c>
      <c r="C147" s="235" t="s">
        <v>37</v>
      </c>
      <c r="D147" s="238"/>
      <c r="E147" s="231">
        <v>0</v>
      </c>
      <c r="F147" s="231">
        <f>-40.9-E147</f>
        <v>-40.9</v>
      </c>
      <c r="G147" s="231">
        <v>8.3000000000000007</v>
      </c>
      <c r="H147" s="231">
        <f>8-G147</f>
        <v>-0.30000000000000071</v>
      </c>
      <c r="I147" s="231">
        <v>0.4</v>
      </c>
      <c r="J147" s="231">
        <f>0.05-I147</f>
        <v>-0.35000000000000003</v>
      </c>
      <c r="K147" s="409">
        <v>0</v>
      </c>
      <c r="L147" s="409">
        <v>0</v>
      </c>
      <c r="M147" s="409">
        <v>0</v>
      </c>
      <c r="N147" s="409">
        <v>0</v>
      </c>
      <c r="O147" s="409">
        <v>0</v>
      </c>
      <c r="P147" s="409">
        <v>0</v>
      </c>
      <c r="Q147" s="409">
        <v>0</v>
      </c>
      <c r="R147" s="409">
        <v>0</v>
      </c>
      <c r="S147" s="409">
        <v>0</v>
      </c>
      <c r="T147" s="409">
        <v>0</v>
      </c>
      <c r="U147" s="409">
        <v>0</v>
      </c>
      <c r="V147" s="409">
        <v>0</v>
      </c>
      <c r="W147" s="409">
        <v>0</v>
      </c>
      <c r="X147" s="409">
        <v>0</v>
      </c>
      <c r="Y147" s="409">
        <v>0</v>
      </c>
      <c r="Z147" s="409">
        <v>0</v>
      </c>
      <c r="AA147" s="409">
        <v>0</v>
      </c>
      <c r="AB147" s="409">
        <v>0</v>
      </c>
      <c r="AC147" s="409">
        <v>0</v>
      </c>
      <c r="AD147" s="409">
        <v>0</v>
      </c>
      <c r="AE147" s="409">
        <v>0</v>
      </c>
      <c r="AF147" s="409">
        <v>0</v>
      </c>
      <c r="AG147" s="409">
        <v>0</v>
      </c>
      <c r="AH147" s="409">
        <v>0</v>
      </c>
      <c r="AI147" s="409">
        <v>0</v>
      </c>
      <c r="AJ147" s="409">
        <v>0</v>
      </c>
      <c r="AK147" s="409">
        <v>0</v>
      </c>
      <c r="AL147" s="409">
        <v>0</v>
      </c>
    </row>
    <row r="148" spans="1:38" outlineLevel="1" x14ac:dyDescent="0.2">
      <c r="B148" s="270" t="s">
        <v>67</v>
      </c>
      <c r="C148" s="252" t="s">
        <v>67</v>
      </c>
      <c r="D148" s="253"/>
      <c r="E148" s="254" t="s">
        <v>67</v>
      </c>
      <c r="F148" s="254" t="s">
        <v>67</v>
      </c>
      <c r="G148" s="254" t="s">
        <v>67</v>
      </c>
      <c r="H148" s="254" t="s">
        <v>67</v>
      </c>
      <c r="I148" s="254" t="s">
        <v>67</v>
      </c>
      <c r="J148" s="254" t="s">
        <v>67</v>
      </c>
      <c r="K148" s="254" t="s">
        <v>67</v>
      </c>
      <c r="L148" s="254" t="s">
        <v>67</v>
      </c>
      <c r="M148" s="254" t="s">
        <v>67</v>
      </c>
      <c r="N148" s="254" t="s">
        <v>67</v>
      </c>
      <c r="O148" s="254" t="s">
        <v>67</v>
      </c>
      <c r="P148" s="254" t="s">
        <v>67</v>
      </c>
      <c r="Q148" s="254" t="s">
        <v>67</v>
      </c>
      <c r="R148" s="254" t="s">
        <v>67</v>
      </c>
      <c r="S148" s="254" t="s">
        <v>67</v>
      </c>
      <c r="T148" s="254" t="s">
        <v>67</v>
      </c>
      <c r="U148" s="254" t="s">
        <v>67</v>
      </c>
      <c r="V148" s="254" t="s">
        <v>67</v>
      </c>
      <c r="W148" s="254" t="s">
        <v>67</v>
      </c>
      <c r="X148" s="254" t="s">
        <v>67</v>
      </c>
      <c r="Y148" s="254" t="s">
        <v>67</v>
      </c>
      <c r="Z148" s="254" t="s">
        <v>67</v>
      </c>
      <c r="AA148" s="254" t="s">
        <v>67</v>
      </c>
      <c r="AB148" s="254" t="s">
        <v>67</v>
      </c>
      <c r="AC148" s="254" t="s">
        <v>67</v>
      </c>
      <c r="AD148" s="254" t="s">
        <v>67</v>
      </c>
      <c r="AE148" s="254" t="s">
        <v>67</v>
      </c>
      <c r="AF148" s="254" t="s">
        <v>67</v>
      </c>
      <c r="AG148" s="254" t="s">
        <v>67</v>
      </c>
      <c r="AH148" s="254" t="s">
        <v>67</v>
      </c>
      <c r="AI148" s="254" t="s">
        <v>67</v>
      </c>
      <c r="AJ148" s="254" t="s">
        <v>67</v>
      </c>
      <c r="AK148" s="254" t="s">
        <v>67</v>
      </c>
      <c r="AL148" s="254" t="s">
        <v>67</v>
      </c>
    </row>
    <row r="149" spans="1:38" s="237" customFormat="1" outlineLevel="1" x14ac:dyDescent="0.2">
      <c r="A149" s="248"/>
      <c r="B149" s="410" t="s">
        <v>87</v>
      </c>
      <c r="C149" s="247" t="s">
        <v>37</v>
      </c>
      <c r="D149" s="218"/>
      <c r="E149" s="257">
        <v>-10.3</v>
      </c>
      <c r="F149" s="257">
        <f>-46.9-E149</f>
        <v>-36.599999999999994</v>
      </c>
      <c r="G149" s="257">
        <v>-0.5</v>
      </c>
      <c r="H149" s="257">
        <f>-6.8-G149</f>
        <v>-6.3</v>
      </c>
      <c r="I149" s="257">
        <v>-32.200000000000003</v>
      </c>
      <c r="J149" s="257">
        <f>-40.1-I149</f>
        <v>-7.8999999999999986</v>
      </c>
      <c r="K149" s="248">
        <f t="shared" ref="K149:AL149" si="55">SUM(K146:K148)</f>
        <v>-4.4277665975945162</v>
      </c>
      <c r="L149" s="248">
        <f t="shared" si="55"/>
        <v>-0.61005763679692571</v>
      </c>
      <c r="M149" s="248">
        <f t="shared" si="55"/>
        <v>-0.22403640490795773</v>
      </c>
      <c r="N149" s="248">
        <f t="shared" si="55"/>
        <v>1.1844557854990931</v>
      </c>
      <c r="O149" s="248">
        <f t="shared" si="55"/>
        <v>1.6240732216025169</v>
      </c>
      <c r="P149" s="248">
        <f t="shared" si="55"/>
        <v>4.71688723456022</v>
      </c>
      <c r="Q149" s="248">
        <f t="shared" si="55"/>
        <v>3.1813515151718956</v>
      </c>
      <c r="R149" s="248">
        <f t="shared" si="55"/>
        <v>5.2287524300727348</v>
      </c>
      <c r="S149" s="248">
        <f t="shared" si="55"/>
        <v>4.076508833006832</v>
      </c>
      <c r="T149" s="248">
        <f t="shared" si="55"/>
        <v>6.2027878775681264</v>
      </c>
      <c r="U149" s="248">
        <f t="shared" si="55"/>
        <v>4.5567220292607855</v>
      </c>
      <c r="V149" s="248">
        <f t="shared" si="55"/>
        <v>6.7692349167532608</v>
      </c>
      <c r="W149" s="248">
        <f t="shared" si="55"/>
        <v>5.0351990087986573</v>
      </c>
      <c r="X149" s="248">
        <f t="shared" si="55"/>
        <v>7.3496129868711852</v>
      </c>
      <c r="Y149" s="248">
        <f t="shared" si="55"/>
        <v>5.5176679417765211</v>
      </c>
      <c r="Z149" s="248">
        <f t="shared" si="55"/>
        <v>7.9372017434310198</v>
      </c>
      <c r="AA149" s="248">
        <f t="shared" si="55"/>
        <v>6.0088794155024932</v>
      </c>
      <c r="AB149" s="248">
        <f t="shared" si="55"/>
        <v>8.5406870001815367</v>
      </c>
      <c r="AC149" s="248">
        <f t="shared" si="55"/>
        <v>6.5129172876000005</v>
      </c>
      <c r="AD149" s="248">
        <f t="shared" si="55"/>
        <v>9.1625491690626557</v>
      </c>
      <c r="AE149" s="248">
        <f t="shared" si="55"/>
        <v>7.0333167140691657</v>
      </c>
      <c r="AF149" s="248">
        <f t="shared" si="55"/>
        <v>9.8110671674338743</v>
      </c>
      <c r="AG149" s="248">
        <f t="shared" si="55"/>
        <v>7.5732339933944282</v>
      </c>
      <c r="AH149" s="248">
        <f t="shared" si="55"/>
        <v>10.484805275288778</v>
      </c>
      <c r="AI149" s="248">
        <f t="shared" si="55"/>
        <v>8.1354813499768639</v>
      </c>
      <c r="AJ149" s="248">
        <f t="shared" si="55"/>
        <v>11.188308518733304</v>
      </c>
      <c r="AK149" s="248">
        <f t="shared" si="55"/>
        <v>8.7226514894613132</v>
      </c>
      <c r="AL149" s="248">
        <f t="shared" si="55"/>
        <v>11.926028707577544</v>
      </c>
    </row>
    <row r="150" spans="1:38" s="237" customFormat="1" outlineLevel="1" x14ac:dyDescent="0.2">
      <c r="A150" s="218"/>
      <c r="B150" s="410"/>
      <c r="C150" s="247"/>
      <c r="D150" s="218"/>
      <c r="E150" s="257"/>
      <c r="F150" s="257"/>
      <c r="G150" s="257"/>
      <c r="H150" s="257"/>
      <c r="I150" s="257"/>
      <c r="J150" s="257"/>
      <c r="K150" s="248"/>
      <c r="L150" s="248"/>
      <c r="M150" s="248"/>
      <c r="N150" s="248"/>
      <c r="O150" s="248"/>
      <c r="P150" s="248"/>
      <c r="Q150" s="248"/>
      <c r="R150" s="248"/>
      <c r="S150" s="248"/>
      <c r="T150" s="248"/>
      <c r="U150" s="248"/>
      <c r="V150" s="248"/>
      <c r="W150" s="248"/>
      <c r="X150" s="248"/>
      <c r="Y150" s="248"/>
      <c r="Z150" s="248"/>
      <c r="AA150" s="248"/>
      <c r="AB150" s="248"/>
      <c r="AC150" s="248"/>
      <c r="AD150" s="248"/>
      <c r="AE150" s="248"/>
      <c r="AF150" s="248"/>
      <c r="AG150" s="248"/>
      <c r="AH150" s="248"/>
      <c r="AI150" s="248"/>
      <c r="AJ150" s="248"/>
      <c r="AK150" s="248"/>
      <c r="AL150" s="248"/>
    </row>
    <row r="151" spans="1:38" s="237" customFormat="1" outlineLevel="1" x14ac:dyDescent="0.2">
      <c r="B151" s="543" t="s">
        <v>88</v>
      </c>
      <c r="C151" s="235" t="s">
        <v>37</v>
      </c>
      <c r="D151" s="238"/>
      <c r="E151" s="231">
        <v>-0.1</v>
      </c>
      <c r="F151" s="231">
        <f>0.1-E151</f>
        <v>0.2</v>
      </c>
      <c r="G151" s="231">
        <v>0.1</v>
      </c>
      <c r="H151" s="231">
        <f>0.2-G151</f>
        <v>0.1</v>
      </c>
      <c r="I151" s="231">
        <v>-0.7</v>
      </c>
      <c r="J151" s="231">
        <f>-0.7-I151</f>
        <v>0</v>
      </c>
      <c r="K151" s="409">
        <v>0</v>
      </c>
      <c r="L151" s="409">
        <v>0</v>
      </c>
      <c r="M151" s="409">
        <v>0</v>
      </c>
      <c r="N151" s="409">
        <v>0</v>
      </c>
      <c r="O151" s="409">
        <v>0</v>
      </c>
      <c r="P151" s="409">
        <v>0</v>
      </c>
      <c r="Q151" s="409">
        <v>0</v>
      </c>
      <c r="R151" s="409">
        <v>0</v>
      </c>
      <c r="S151" s="409">
        <v>0</v>
      </c>
      <c r="T151" s="409">
        <v>0</v>
      </c>
      <c r="U151" s="409">
        <v>0</v>
      </c>
      <c r="V151" s="409">
        <v>0</v>
      </c>
      <c r="W151" s="409">
        <v>0</v>
      </c>
      <c r="X151" s="409">
        <v>0</v>
      </c>
      <c r="Y151" s="409">
        <v>0</v>
      </c>
      <c r="Z151" s="409">
        <v>0</v>
      </c>
      <c r="AA151" s="409">
        <v>0</v>
      </c>
      <c r="AB151" s="409">
        <v>0</v>
      </c>
      <c r="AC151" s="409">
        <v>0</v>
      </c>
      <c r="AD151" s="409">
        <v>0</v>
      </c>
      <c r="AE151" s="409">
        <v>0</v>
      </c>
      <c r="AF151" s="409">
        <v>0</v>
      </c>
      <c r="AG151" s="409">
        <v>0</v>
      </c>
      <c r="AH151" s="409">
        <v>0</v>
      </c>
      <c r="AI151" s="409">
        <v>0</v>
      </c>
      <c r="AJ151" s="409">
        <v>0</v>
      </c>
      <c r="AK151" s="409">
        <v>0</v>
      </c>
      <c r="AL151" s="409">
        <v>0</v>
      </c>
    </row>
    <row r="152" spans="1:38" s="237" customFormat="1" outlineLevel="1" x14ac:dyDescent="0.2">
      <c r="A152" s="248"/>
      <c r="B152" s="543" t="s">
        <v>89</v>
      </c>
      <c r="C152" s="235" t="s">
        <v>37</v>
      </c>
      <c r="D152" s="238"/>
      <c r="E152" s="231">
        <v>0</v>
      </c>
      <c r="F152" s="231">
        <f>-0.8-E152</f>
        <v>-0.8</v>
      </c>
      <c r="G152" s="231">
        <v>0</v>
      </c>
      <c r="H152" s="231">
        <f>6.1-G152</f>
        <v>6.1</v>
      </c>
      <c r="I152" s="231">
        <v>-21.4</v>
      </c>
      <c r="J152" s="231">
        <f>-19-I152</f>
        <v>2.3999999999999986</v>
      </c>
      <c r="K152" s="232">
        <f t="shared" ref="K152:AL152" si="56">K459</f>
        <v>0</v>
      </c>
      <c r="L152" s="232">
        <f t="shared" si="56"/>
        <v>0</v>
      </c>
      <c r="M152" s="232">
        <f t="shared" si="56"/>
        <v>0</v>
      </c>
      <c r="N152" s="232">
        <f t="shared" si="56"/>
        <v>0</v>
      </c>
      <c r="O152" s="232">
        <f t="shared" si="56"/>
        <v>0</v>
      </c>
      <c r="P152" s="232">
        <f t="shared" si="56"/>
        <v>0</v>
      </c>
      <c r="Q152" s="232">
        <f t="shared" si="56"/>
        <v>0</v>
      </c>
      <c r="R152" s="232">
        <f t="shared" si="56"/>
        <v>0</v>
      </c>
      <c r="S152" s="232">
        <f t="shared" si="56"/>
        <v>0</v>
      </c>
      <c r="T152" s="232">
        <f t="shared" si="56"/>
        <v>0</v>
      </c>
      <c r="U152" s="232">
        <f t="shared" si="56"/>
        <v>0</v>
      </c>
      <c r="V152" s="232">
        <f t="shared" si="56"/>
        <v>0</v>
      </c>
      <c r="W152" s="232">
        <f t="shared" si="56"/>
        <v>0</v>
      </c>
      <c r="X152" s="232">
        <f t="shared" si="56"/>
        <v>0</v>
      </c>
      <c r="Y152" s="232">
        <f t="shared" si="56"/>
        <v>0</v>
      </c>
      <c r="Z152" s="232">
        <f t="shared" si="56"/>
        <v>0</v>
      </c>
      <c r="AA152" s="232">
        <f t="shared" si="56"/>
        <v>0</v>
      </c>
      <c r="AB152" s="232">
        <f t="shared" si="56"/>
        <v>0</v>
      </c>
      <c r="AC152" s="232">
        <f t="shared" si="56"/>
        <v>0</v>
      </c>
      <c r="AD152" s="232">
        <f t="shared" si="56"/>
        <v>0</v>
      </c>
      <c r="AE152" s="232">
        <f t="shared" si="56"/>
        <v>0</v>
      </c>
      <c r="AF152" s="232">
        <f t="shared" si="56"/>
        <v>0</v>
      </c>
      <c r="AG152" s="232">
        <f t="shared" si="56"/>
        <v>0</v>
      </c>
      <c r="AH152" s="232">
        <f t="shared" si="56"/>
        <v>0</v>
      </c>
      <c r="AI152" s="232">
        <f t="shared" si="56"/>
        <v>0</v>
      </c>
      <c r="AJ152" s="232">
        <f t="shared" si="56"/>
        <v>0</v>
      </c>
      <c r="AK152" s="232">
        <f t="shared" si="56"/>
        <v>0</v>
      </c>
      <c r="AL152" s="232">
        <f t="shared" si="56"/>
        <v>0</v>
      </c>
    </row>
    <row r="153" spans="1:38" outlineLevel="1" x14ac:dyDescent="0.2">
      <c r="B153" s="270" t="s">
        <v>67</v>
      </c>
      <c r="C153" s="252" t="s">
        <v>67</v>
      </c>
      <c r="D153" s="253"/>
      <c r="E153" s="254" t="s">
        <v>67</v>
      </c>
      <c r="F153" s="254" t="s">
        <v>67</v>
      </c>
      <c r="G153" s="254" t="s">
        <v>67</v>
      </c>
      <c r="H153" s="254" t="s">
        <v>67</v>
      </c>
      <c r="I153" s="254" t="s">
        <v>67</v>
      </c>
      <c r="J153" s="254" t="s">
        <v>67</v>
      </c>
      <c r="K153" s="254" t="s">
        <v>67</v>
      </c>
      <c r="L153" s="254" t="s">
        <v>67</v>
      </c>
      <c r="M153" s="254" t="s">
        <v>67</v>
      </c>
      <c r="N153" s="254" t="s">
        <v>67</v>
      </c>
      <c r="O153" s="254" t="s">
        <v>67</v>
      </c>
      <c r="P153" s="254" t="s">
        <v>67</v>
      </c>
      <c r="Q153" s="254" t="s">
        <v>67</v>
      </c>
      <c r="R153" s="254" t="s">
        <v>67</v>
      </c>
      <c r="S153" s="254" t="s">
        <v>67</v>
      </c>
      <c r="T153" s="254" t="s">
        <v>67</v>
      </c>
      <c r="U153" s="254" t="s">
        <v>67</v>
      </c>
      <c r="V153" s="254" t="s">
        <v>67</v>
      </c>
      <c r="W153" s="254" t="s">
        <v>67</v>
      </c>
      <c r="X153" s="254" t="s">
        <v>67</v>
      </c>
      <c r="Y153" s="254" t="s">
        <v>67</v>
      </c>
      <c r="Z153" s="254" t="s">
        <v>67</v>
      </c>
      <c r="AA153" s="254" t="s">
        <v>67</v>
      </c>
      <c r="AB153" s="254" t="s">
        <v>67</v>
      </c>
      <c r="AC153" s="254" t="s">
        <v>67</v>
      </c>
      <c r="AD153" s="254" t="s">
        <v>67</v>
      </c>
      <c r="AE153" s="254" t="s">
        <v>67</v>
      </c>
      <c r="AF153" s="254" t="s">
        <v>67</v>
      </c>
      <c r="AG153" s="254" t="s">
        <v>67</v>
      </c>
      <c r="AH153" s="254" t="s">
        <v>67</v>
      </c>
      <c r="AI153" s="254" t="s">
        <v>67</v>
      </c>
      <c r="AJ153" s="254" t="s">
        <v>67</v>
      </c>
      <c r="AK153" s="254" t="s">
        <v>67</v>
      </c>
      <c r="AL153" s="254" t="s">
        <v>67</v>
      </c>
    </row>
    <row r="154" spans="1:38" s="237" customFormat="1" outlineLevel="1" x14ac:dyDescent="0.2">
      <c r="B154" s="540" t="s">
        <v>90</v>
      </c>
      <c r="C154" s="541" t="s">
        <v>37</v>
      </c>
      <c r="D154" s="542"/>
      <c r="E154" s="539">
        <f t="shared" ref="E154:AL154" si="57">SUM(E151:E153)</f>
        <v>-0.1</v>
      </c>
      <c r="F154" s="539">
        <f t="shared" si="57"/>
        <v>-0.60000000000000009</v>
      </c>
      <c r="G154" s="539">
        <f t="shared" si="57"/>
        <v>0.1</v>
      </c>
      <c r="H154" s="539">
        <f t="shared" si="57"/>
        <v>6.1999999999999993</v>
      </c>
      <c r="I154" s="539">
        <f t="shared" si="57"/>
        <v>-22.099999999999998</v>
      </c>
      <c r="J154" s="539">
        <f t="shared" ref="J154" si="58">SUM(J151:J153)</f>
        <v>2.3999999999999986</v>
      </c>
      <c r="K154" s="539">
        <f t="shared" si="57"/>
        <v>0</v>
      </c>
      <c r="L154" s="539">
        <f t="shared" si="57"/>
        <v>0</v>
      </c>
      <c r="M154" s="539">
        <f t="shared" si="57"/>
        <v>0</v>
      </c>
      <c r="N154" s="539">
        <f t="shared" si="57"/>
        <v>0</v>
      </c>
      <c r="O154" s="539">
        <f t="shared" si="57"/>
        <v>0</v>
      </c>
      <c r="P154" s="539">
        <f t="shared" si="57"/>
        <v>0</v>
      </c>
      <c r="Q154" s="539">
        <f t="shared" si="57"/>
        <v>0</v>
      </c>
      <c r="R154" s="539">
        <f t="shared" si="57"/>
        <v>0</v>
      </c>
      <c r="S154" s="539">
        <f t="shared" si="57"/>
        <v>0</v>
      </c>
      <c r="T154" s="539">
        <f t="shared" si="57"/>
        <v>0</v>
      </c>
      <c r="U154" s="539">
        <f t="shared" si="57"/>
        <v>0</v>
      </c>
      <c r="V154" s="539">
        <f t="shared" si="57"/>
        <v>0</v>
      </c>
      <c r="W154" s="539">
        <f t="shared" si="57"/>
        <v>0</v>
      </c>
      <c r="X154" s="539">
        <f t="shared" si="57"/>
        <v>0</v>
      </c>
      <c r="Y154" s="539">
        <f t="shared" si="57"/>
        <v>0</v>
      </c>
      <c r="Z154" s="539">
        <f t="shared" si="57"/>
        <v>0</v>
      </c>
      <c r="AA154" s="539">
        <f t="shared" si="57"/>
        <v>0</v>
      </c>
      <c r="AB154" s="539">
        <f t="shared" si="57"/>
        <v>0</v>
      </c>
      <c r="AC154" s="539">
        <f t="shared" si="57"/>
        <v>0</v>
      </c>
      <c r="AD154" s="539">
        <f t="shared" si="57"/>
        <v>0</v>
      </c>
      <c r="AE154" s="539">
        <f t="shared" si="57"/>
        <v>0</v>
      </c>
      <c r="AF154" s="539">
        <f t="shared" si="57"/>
        <v>0</v>
      </c>
      <c r="AG154" s="539">
        <f t="shared" si="57"/>
        <v>0</v>
      </c>
      <c r="AH154" s="539">
        <f t="shared" si="57"/>
        <v>0</v>
      </c>
      <c r="AI154" s="539">
        <f t="shared" si="57"/>
        <v>0</v>
      </c>
      <c r="AJ154" s="539">
        <f t="shared" si="57"/>
        <v>0</v>
      </c>
      <c r="AK154" s="539">
        <f t="shared" si="57"/>
        <v>0</v>
      </c>
      <c r="AL154" s="539">
        <f t="shared" si="57"/>
        <v>0</v>
      </c>
    </row>
    <row r="155" spans="1:38" s="237" customFormat="1" outlineLevel="1" x14ac:dyDescent="0.2">
      <c r="B155" s="410" t="s">
        <v>91</v>
      </c>
      <c r="C155" s="247" t="s">
        <v>37</v>
      </c>
      <c r="D155" s="218"/>
      <c r="E155" s="257">
        <v>-10.4</v>
      </c>
      <c r="F155" s="257">
        <f>-47.5-E155</f>
        <v>-37.1</v>
      </c>
      <c r="G155" s="257">
        <v>-0.4</v>
      </c>
      <c r="H155" s="257">
        <f>-0.6-G155</f>
        <v>-0.19999999999999996</v>
      </c>
      <c r="I155" s="257">
        <v>-54.3</v>
      </c>
      <c r="J155" s="257">
        <f>-59.8-I155</f>
        <v>-5.5</v>
      </c>
      <c r="K155" s="248">
        <f t="shared" ref="K155:AL155" si="59">K149+K154</f>
        <v>-4.4277665975945162</v>
      </c>
      <c r="L155" s="248">
        <f t="shared" si="59"/>
        <v>-0.61005763679692571</v>
      </c>
      <c r="M155" s="248">
        <f t="shared" si="59"/>
        <v>-0.22403640490795773</v>
      </c>
      <c r="N155" s="248">
        <f t="shared" si="59"/>
        <v>1.1844557854990931</v>
      </c>
      <c r="O155" s="248">
        <f t="shared" si="59"/>
        <v>1.6240732216025169</v>
      </c>
      <c r="P155" s="248">
        <f t="shared" si="59"/>
        <v>4.71688723456022</v>
      </c>
      <c r="Q155" s="248">
        <f t="shared" si="59"/>
        <v>3.1813515151718956</v>
      </c>
      <c r="R155" s="248">
        <f t="shared" si="59"/>
        <v>5.2287524300727348</v>
      </c>
      <c r="S155" s="248">
        <f t="shared" si="59"/>
        <v>4.076508833006832</v>
      </c>
      <c r="T155" s="248">
        <f t="shared" si="59"/>
        <v>6.2027878775681264</v>
      </c>
      <c r="U155" s="248">
        <f t="shared" si="59"/>
        <v>4.5567220292607855</v>
      </c>
      <c r="V155" s="248">
        <f t="shared" si="59"/>
        <v>6.7692349167532608</v>
      </c>
      <c r="W155" s="248">
        <f t="shared" si="59"/>
        <v>5.0351990087986573</v>
      </c>
      <c r="X155" s="248">
        <f t="shared" si="59"/>
        <v>7.3496129868711852</v>
      </c>
      <c r="Y155" s="248">
        <f t="shared" si="59"/>
        <v>5.5176679417765211</v>
      </c>
      <c r="Z155" s="248">
        <f t="shared" si="59"/>
        <v>7.9372017434310198</v>
      </c>
      <c r="AA155" s="248">
        <f t="shared" si="59"/>
        <v>6.0088794155024932</v>
      </c>
      <c r="AB155" s="248">
        <f t="shared" si="59"/>
        <v>8.5406870001815367</v>
      </c>
      <c r="AC155" s="248">
        <f t="shared" si="59"/>
        <v>6.5129172876000005</v>
      </c>
      <c r="AD155" s="248">
        <f t="shared" si="59"/>
        <v>9.1625491690626557</v>
      </c>
      <c r="AE155" s="248">
        <f t="shared" si="59"/>
        <v>7.0333167140691657</v>
      </c>
      <c r="AF155" s="248">
        <f t="shared" si="59"/>
        <v>9.8110671674338743</v>
      </c>
      <c r="AG155" s="248">
        <f t="shared" si="59"/>
        <v>7.5732339933944282</v>
      </c>
      <c r="AH155" s="248">
        <f t="shared" si="59"/>
        <v>10.484805275288778</v>
      </c>
      <c r="AI155" s="248">
        <f t="shared" si="59"/>
        <v>8.1354813499768639</v>
      </c>
      <c r="AJ155" s="248">
        <f t="shared" si="59"/>
        <v>11.188308518733304</v>
      </c>
      <c r="AK155" s="248">
        <f t="shared" si="59"/>
        <v>8.7226514894613132</v>
      </c>
      <c r="AL155" s="248">
        <f t="shared" si="59"/>
        <v>11.926028707577544</v>
      </c>
    </row>
    <row r="156" spans="1:38" s="237" customFormat="1" outlineLevel="1" x14ac:dyDescent="0.2">
      <c r="B156" s="226"/>
      <c r="C156" s="247"/>
      <c r="D156" s="21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c r="AA156" s="248"/>
      <c r="AB156" s="248"/>
      <c r="AC156" s="248"/>
      <c r="AD156" s="248"/>
      <c r="AE156" s="248"/>
      <c r="AF156" s="248"/>
      <c r="AG156" s="248"/>
      <c r="AH156" s="248"/>
      <c r="AI156" s="248"/>
      <c r="AJ156" s="248"/>
      <c r="AK156" s="248"/>
      <c r="AL156" s="248"/>
    </row>
    <row r="157" spans="1:38" s="237" customFormat="1" outlineLevel="1" x14ac:dyDescent="0.2">
      <c r="B157" s="272" t="s">
        <v>92</v>
      </c>
      <c r="C157" s="205" t="s">
        <v>82</v>
      </c>
      <c r="D157" s="255"/>
      <c r="E157" s="302"/>
      <c r="F157" s="302"/>
      <c r="G157" s="302">
        <v>-1.56</v>
      </c>
      <c r="H157" s="302">
        <f>-2.31-G157</f>
        <v>-0.75</v>
      </c>
      <c r="I157" s="302">
        <v>-3.11</v>
      </c>
      <c r="J157" s="302">
        <f>-3.88-I157</f>
        <v>-0.77</v>
      </c>
      <c r="K157" s="303">
        <f t="shared" ref="K157:AL157" si="60">K146/K507*100</f>
        <v>-0.42116807849840393</v>
      </c>
      <c r="L157" s="303">
        <f t="shared" si="60"/>
        <v>-5.7863414955851233E-2</v>
      </c>
      <c r="M157" s="303">
        <f t="shared" si="60"/>
        <v>-2.1189356589792509E-2</v>
      </c>
      <c r="N157" s="303">
        <f t="shared" si="60"/>
        <v>0.11170883083284001</v>
      </c>
      <c r="O157" s="303">
        <f t="shared" si="60"/>
        <v>0.15273803999342161</v>
      </c>
      <c r="P157" s="303">
        <f t="shared" si="60"/>
        <v>0.44235762060617373</v>
      </c>
      <c r="Q157" s="303">
        <f t="shared" si="60"/>
        <v>0.29751545244752475</v>
      </c>
      <c r="R157" s="303">
        <f t="shared" si="60"/>
        <v>0.48761742486101867</v>
      </c>
      <c r="S157" s="303">
        <f t="shared" si="60"/>
        <v>0.37910210176612547</v>
      </c>
      <c r="T157" s="303">
        <f t="shared" si="60"/>
        <v>0.57523430984198709</v>
      </c>
      <c r="U157" s="303">
        <f t="shared" si="60"/>
        <v>0.42140899155749084</v>
      </c>
      <c r="V157" s="303">
        <f t="shared" si="60"/>
        <v>0.6242917555302715</v>
      </c>
      <c r="W157" s="303">
        <f t="shared" si="60"/>
        <v>0.4630892829920189</v>
      </c>
      <c r="X157" s="303">
        <f t="shared" si="60"/>
        <v>0.67408698814634715</v>
      </c>
      <c r="Y157" s="303">
        <f t="shared" si="60"/>
        <v>0.50467722322358166</v>
      </c>
      <c r="Z157" s="303">
        <f t="shared" si="60"/>
        <v>0.72399489534190242</v>
      </c>
      <c r="AA157" s="303">
        <f t="shared" si="60"/>
        <v>0.54660646850142236</v>
      </c>
      <c r="AB157" s="303">
        <f t="shared" si="60"/>
        <v>0.77480160455014435</v>
      </c>
      <c r="AC157" s="303">
        <f t="shared" si="60"/>
        <v>0.5892409381000252</v>
      </c>
      <c r="AD157" s="303">
        <f t="shared" si="60"/>
        <v>0.82671632035201215</v>
      </c>
      <c r="AE157" s="303">
        <f t="shared" si="60"/>
        <v>0.63288731754636984</v>
      </c>
      <c r="AF157" s="303">
        <f t="shared" si="60"/>
        <v>0.88046411053886531</v>
      </c>
      <c r="AG157" s="303">
        <f t="shared" si="60"/>
        <v>0.67781179657528956</v>
      </c>
      <c r="AH157" s="303">
        <f t="shared" si="60"/>
        <v>0.93588736880471179</v>
      </c>
      <c r="AI157" s="303">
        <f t="shared" si="60"/>
        <v>0.72424424716794622</v>
      </c>
      <c r="AJ157" s="303">
        <f t="shared" si="60"/>
        <v>0.99336285250256828</v>
      </c>
      <c r="AK157" s="303">
        <f t="shared" si="60"/>
        <v>0.77239021769829708</v>
      </c>
      <c r="AL157" s="303">
        <f t="shared" si="60"/>
        <v>1.053251100930455</v>
      </c>
    </row>
    <row r="158" spans="1:38" s="237" customFormat="1" outlineLevel="1" x14ac:dyDescent="0.2">
      <c r="A158" s="249"/>
      <c r="B158" s="263" t="s">
        <v>92</v>
      </c>
      <c r="C158" s="205" t="s">
        <v>82</v>
      </c>
      <c r="D158" s="255"/>
      <c r="E158" s="546"/>
      <c r="F158" s="546"/>
      <c r="G158" s="546">
        <f>G146/G507*100</f>
        <v>-1.5590494238970454</v>
      </c>
      <c r="H158" s="546">
        <f>H146/H507*100</f>
        <v>-0.93470027619754448</v>
      </c>
      <c r="I158" s="546">
        <f>I146/I507*100</f>
        <v>-3.100142615499375</v>
      </c>
      <c r="J158" s="546">
        <f>J146/J507*100</f>
        <v>-0.76421969325770966</v>
      </c>
    </row>
    <row r="159" spans="1:38" outlineLevel="1" x14ac:dyDescent="0.2">
      <c r="B159" s="413"/>
      <c r="C159" s="230"/>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c r="AA159" s="232"/>
      <c r="AB159" s="232"/>
      <c r="AC159" s="232"/>
      <c r="AD159" s="232"/>
      <c r="AE159" s="232"/>
      <c r="AF159" s="232"/>
      <c r="AG159" s="232"/>
      <c r="AH159" s="232"/>
      <c r="AI159" s="232"/>
      <c r="AJ159" s="232"/>
      <c r="AK159" s="232"/>
      <c r="AL159" s="232"/>
    </row>
    <row r="160" spans="1:38" s="237" customFormat="1" outlineLevel="1" x14ac:dyDescent="0.2">
      <c r="B160" s="272" t="s">
        <v>93</v>
      </c>
      <c r="C160" s="205" t="s">
        <v>82</v>
      </c>
      <c r="D160" s="255"/>
      <c r="E160" s="302"/>
      <c r="F160" s="302"/>
      <c r="G160" s="302">
        <v>0</v>
      </c>
      <c r="H160" s="302">
        <v>0</v>
      </c>
      <c r="I160" s="302">
        <v>0</v>
      </c>
      <c r="J160" s="302">
        <v>0</v>
      </c>
      <c r="K160" s="303">
        <f t="shared" ref="K160:AL160" si="61">K470</f>
        <v>0</v>
      </c>
      <c r="L160" s="303">
        <f t="shared" si="61"/>
        <v>0</v>
      </c>
      <c r="M160" s="303">
        <f t="shared" si="61"/>
        <v>0</v>
      </c>
      <c r="N160" s="303">
        <f t="shared" si="61"/>
        <v>0</v>
      </c>
      <c r="O160" s="303">
        <f t="shared" si="61"/>
        <v>0</v>
      </c>
      <c r="P160" s="303">
        <f t="shared" si="61"/>
        <v>0</v>
      </c>
      <c r="Q160" s="303">
        <f t="shared" si="61"/>
        <v>0</v>
      </c>
      <c r="R160" s="303">
        <f t="shared" si="61"/>
        <v>0</v>
      </c>
      <c r="S160" s="303">
        <f t="shared" si="61"/>
        <v>0</v>
      </c>
      <c r="T160" s="303">
        <f t="shared" si="61"/>
        <v>0</v>
      </c>
      <c r="U160" s="303">
        <f t="shared" si="61"/>
        <v>0</v>
      </c>
      <c r="V160" s="303">
        <f t="shared" si="61"/>
        <v>0</v>
      </c>
      <c r="W160" s="303">
        <f t="shared" si="61"/>
        <v>0</v>
      </c>
      <c r="X160" s="303">
        <f t="shared" si="61"/>
        <v>0</v>
      </c>
      <c r="Y160" s="303">
        <f t="shared" si="61"/>
        <v>0</v>
      </c>
      <c r="Z160" s="303">
        <f t="shared" si="61"/>
        <v>0</v>
      </c>
      <c r="AA160" s="303">
        <f t="shared" si="61"/>
        <v>0</v>
      </c>
      <c r="AB160" s="303">
        <f t="shared" si="61"/>
        <v>0</v>
      </c>
      <c r="AC160" s="303">
        <f t="shared" si="61"/>
        <v>0</v>
      </c>
      <c r="AD160" s="303">
        <f t="shared" si="61"/>
        <v>0</v>
      </c>
      <c r="AE160" s="303">
        <f t="shared" si="61"/>
        <v>0</v>
      </c>
      <c r="AF160" s="303">
        <f t="shared" si="61"/>
        <v>0</v>
      </c>
      <c r="AG160" s="303">
        <f t="shared" si="61"/>
        <v>0</v>
      </c>
      <c r="AH160" s="303">
        <f t="shared" si="61"/>
        <v>0</v>
      </c>
      <c r="AI160" s="303">
        <f t="shared" si="61"/>
        <v>0</v>
      </c>
      <c r="AJ160" s="303">
        <f t="shared" si="61"/>
        <v>0</v>
      </c>
      <c r="AK160" s="303">
        <f t="shared" si="61"/>
        <v>0</v>
      </c>
      <c r="AL160" s="303">
        <f t="shared" si="61"/>
        <v>0</v>
      </c>
    </row>
    <row r="161" spans="1:38" outlineLevel="1" x14ac:dyDescent="0.2">
      <c r="B161" s="226"/>
      <c r="C161" s="230"/>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c r="AA161" s="232"/>
      <c r="AB161" s="232"/>
      <c r="AC161" s="232"/>
      <c r="AD161" s="232"/>
      <c r="AE161" s="232"/>
      <c r="AF161" s="232"/>
      <c r="AG161" s="232"/>
      <c r="AH161" s="232"/>
      <c r="AI161" s="232"/>
      <c r="AJ161" s="232"/>
      <c r="AK161" s="232"/>
      <c r="AL161" s="232"/>
    </row>
    <row r="162" spans="1:38" s="237" customFormat="1" outlineLevel="1" x14ac:dyDescent="0.2">
      <c r="A162" s="218"/>
      <c r="B162" s="532" t="s">
        <v>94</v>
      </c>
      <c r="C162" s="247"/>
      <c r="D162" s="21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c r="AA162" s="248"/>
      <c r="AB162" s="248"/>
      <c r="AC162" s="248"/>
      <c r="AD162" s="248"/>
      <c r="AE162" s="248"/>
      <c r="AF162" s="248"/>
      <c r="AG162" s="248"/>
      <c r="AH162" s="248"/>
      <c r="AI162" s="248"/>
      <c r="AJ162" s="248"/>
      <c r="AK162" s="248"/>
      <c r="AL162" s="248"/>
    </row>
    <row r="163" spans="1:38" s="530" customFormat="1" outlineLevel="1" x14ac:dyDescent="0.2">
      <c r="A163" s="218"/>
      <c r="B163" s="226" t="s">
        <v>60</v>
      </c>
      <c r="C163" s="205" t="s">
        <v>37</v>
      </c>
      <c r="D163" s="218"/>
      <c r="E163" s="256"/>
      <c r="F163" s="256"/>
      <c r="G163" s="231">
        <v>0</v>
      </c>
      <c r="H163" s="231">
        <v>0</v>
      </c>
      <c r="I163" s="231">
        <v>0</v>
      </c>
      <c r="J163" s="231">
        <v>-1.6</v>
      </c>
      <c r="K163" s="409">
        <v>0</v>
      </c>
      <c r="L163" s="409">
        <v>0</v>
      </c>
      <c r="M163" s="409">
        <v>0</v>
      </c>
      <c r="N163" s="409">
        <v>0</v>
      </c>
      <c r="O163" s="409">
        <v>0</v>
      </c>
      <c r="P163" s="409">
        <v>0</v>
      </c>
      <c r="Q163" s="409">
        <v>0</v>
      </c>
      <c r="R163" s="409">
        <v>0</v>
      </c>
      <c r="S163" s="409">
        <v>0</v>
      </c>
      <c r="T163" s="409">
        <v>0</v>
      </c>
      <c r="U163" s="409">
        <v>0</v>
      </c>
      <c r="V163" s="409">
        <v>0</v>
      </c>
      <c r="W163" s="409">
        <v>0</v>
      </c>
      <c r="X163" s="409">
        <v>0</v>
      </c>
      <c r="Y163" s="409">
        <v>0</v>
      </c>
      <c r="Z163" s="409">
        <v>0</v>
      </c>
      <c r="AA163" s="409">
        <v>0</v>
      </c>
      <c r="AB163" s="409">
        <v>0</v>
      </c>
      <c r="AC163" s="409">
        <v>0</v>
      </c>
      <c r="AD163" s="409">
        <v>0</v>
      </c>
      <c r="AE163" s="409">
        <v>0</v>
      </c>
      <c r="AF163" s="409">
        <v>0</v>
      </c>
      <c r="AG163" s="409">
        <v>0</v>
      </c>
      <c r="AH163" s="409">
        <v>0</v>
      </c>
      <c r="AI163" s="409">
        <v>0</v>
      </c>
      <c r="AJ163" s="409">
        <v>0</v>
      </c>
      <c r="AK163" s="409">
        <v>0</v>
      </c>
      <c r="AL163" s="409">
        <v>0</v>
      </c>
    </row>
    <row r="164" spans="1:38" s="530" customFormat="1" outlineLevel="1" x14ac:dyDescent="0.2">
      <c r="A164" s="218"/>
      <c r="B164" s="226" t="s">
        <v>75</v>
      </c>
      <c r="C164" s="205" t="s">
        <v>37</v>
      </c>
      <c r="D164" s="218"/>
      <c r="E164" s="256"/>
      <c r="F164" s="256"/>
      <c r="G164" s="231">
        <v>0.3</v>
      </c>
      <c r="H164" s="231">
        <f>-14.6-G164</f>
        <v>-14.9</v>
      </c>
      <c r="I164" s="231">
        <v>-11.6</v>
      </c>
      <c r="J164" s="231">
        <f>-17.2-I164</f>
        <v>-5.6</v>
      </c>
      <c r="K164" s="232">
        <f>K178</f>
        <v>-4.3125</v>
      </c>
      <c r="L164" s="232">
        <f t="shared" ref="L164:AL164" si="62">L178</f>
        <v>-4.3446327683615831</v>
      </c>
      <c r="M164" s="232">
        <f t="shared" si="62"/>
        <v>-2.3236797573999999</v>
      </c>
      <c r="N164" s="232">
        <f t="shared" si="62"/>
        <v>-3.2548661580779683</v>
      </c>
      <c r="O164" s="232">
        <f t="shared" si="62"/>
        <v>-1.2116760856200002</v>
      </c>
      <c r="P164" s="232">
        <f t="shared" si="62"/>
        <v>-1.0882686285765004</v>
      </c>
      <c r="Q164" s="232">
        <f t="shared" si="62"/>
        <v>-1.1600016643215003</v>
      </c>
      <c r="R164" s="232">
        <f t="shared" si="62"/>
        <v>-1.1426820600053256</v>
      </c>
      <c r="S164" s="232">
        <f t="shared" si="62"/>
        <v>-1.1787113685847499</v>
      </c>
      <c r="T164" s="232">
        <f t="shared" si="62"/>
        <v>-1.1611124158118631</v>
      </c>
      <c r="U164" s="232">
        <f t="shared" si="62"/>
        <v>-1.2376469370139878</v>
      </c>
      <c r="V164" s="232">
        <f t="shared" si="62"/>
        <v>-1.2191680366024564</v>
      </c>
      <c r="W164" s="232">
        <f t="shared" si="62"/>
        <v>-1.2995292838646868</v>
      </c>
      <c r="X164" s="232">
        <f t="shared" si="62"/>
        <v>-1.2801264384325792</v>
      </c>
      <c r="Y164" s="232">
        <f t="shared" si="62"/>
        <v>-1.364505748057921</v>
      </c>
      <c r="Z164" s="232">
        <f t="shared" si="62"/>
        <v>-1.3441327603542084</v>
      </c>
      <c r="AA164" s="232">
        <f t="shared" si="62"/>
        <v>-1.4327310354608174</v>
      </c>
      <c r="AB164" s="232">
        <f t="shared" si="62"/>
        <v>-1.4113393983719189</v>
      </c>
      <c r="AC164" s="232">
        <f t="shared" si="62"/>
        <v>-1.5043675872338584</v>
      </c>
      <c r="AD164" s="232">
        <f t="shared" si="62"/>
        <v>-1.4819063682905149</v>
      </c>
      <c r="AE164" s="232">
        <f t="shared" si="62"/>
        <v>-1.5795859665955516</v>
      </c>
      <c r="AF164" s="232">
        <f t="shared" si="62"/>
        <v>-1.5560016867050404</v>
      </c>
      <c r="AG164" s="232">
        <f t="shared" si="62"/>
        <v>-1.6585652649253293</v>
      </c>
      <c r="AH164" s="232">
        <f t="shared" si="62"/>
        <v>-1.6338017710402932</v>
      </c>
      <c r="AI164" s="232">
        <f t="shared" si="62"/>
        <v>-1.7414935281715958</v>
      </c>
      <c r="AJ164" s="232">
        <f t="shared" si="62"/>
        <v>-1.7154918595923077</v>
      </c>
      <c r="AK164" s="232">
        <f t="shared" si="62"/>
        <v>-1.8285682045801754</v>
      </c>
      <c r="AL164" s="232">
        <f t="shared" si="62"/>
        <v>-1.8012664525719231</v>
      </c>
    </row>
    <row r="165" spans="1:38" s="530" customFormat="1" outlineLevel="1" x14ac:dyDescent="0.2">
      <c r="A165" s="218"/>
      <c r="B165" s="226" t="s">
        <v>84</v>
      </c>
      <c r="C165" s="205" t="s">
        <v>37</v>
      </c>
      <c r="D165" s="218"/>
      <c r="E165" s="256"/>
      <c r="F165" s="256"/>
      <c r="G165" s="231">
        <v>-2.5</v>
      </c>
      <c r="H165" s="231">
        <f>-11.6-G165</f>
        <v>-9.1</v>
      </c>
      <c r="I165" s="231">
        <v>-13.2</v>
      </c>
      <c r="J165" s="231">
        <f>-19.5-I165</f>
        <v>-6.3000000000000007</v>
      </c>
      <c r="K165" s="232">
        <f>K178</f>
        <v>-4.3125</v>
      </c>
      <c r="L165" s="232">
        <f t="shared" ref="L165:AL165" si="63">L178</f>
        <v>-4.3446327683615831</v>
      </c>
      <c r="M165" s="232">
        <f t="shared" si="63"/>
        <v>-2.3236797573999999</v>
      </c>
      <c r="N165" s="232">
        <f t="shared" si="63"/>
        <v>-3.2548661580779683</v>
      </c>
      <c r="O165" s="232">
        <f t="shared" si="63"/>
        <v>-1.2116760856200002</v>
      </c>
      <c r="P165" s="232">
        <f t="shared" si="63"/>
        <v>-1.0882686285765004</v>
      </c>
      <c r="Q165" s="232">
        <f t="shared" si="63"/>
        <v>-1.1600016643215003</v>
      </c>
      <c r="R165" s="232">
        <f t="shared" si="63"/>
        <v>-1.1426820600053256</v>
      </c>
      <c r="S165" s="232">
        <f t="shared" si="63"/>
        <v>-1.1787113685847499</v>
      </c>
      <c r="T165" s="232">
        <f t="shared" si="63"/>
        <v>-1.1611124158118631</v>
      </c>
      <c r="U165" s="232">
        <f t="shared" si="63"/>
        <v>-1.2376469370139878</v>
      </c>
      <c r="V165" s="232">
        <f t="shared" si="63"/>
        <v>-1.2191680366024564</v>
      </c>
      <c r="W165" s="232">
        <f t="shared" si="63"/>
        <v>-1.2995292838646868</v>
      </c>
      <c r="X165" s="232">
        <f t="shared" si="63"/>
        <v>-1.2801264384325792</v>
      </c>
      <c r="Y165" s="232">
        <f t="shared" si="63"/>
        <v>-1.364505748057921</v>
      </c>
      <c r="Z165" s="232">
        <f t="shared" si="63"/>
        <v>-1.3441327603542084</v>
      </c>
      <c r="AA165" s="232">
        <f t="shared" si="63"/>
        <v>-1.4327310354608174</v>
      </c>
      <c r="AB165" s="232">
        <f t="shared" si="63"/>
        <v>-1.4113393983719189</v>
      </c>
      <c r="AC165" s="232">
        <f t="shared" si="63"/>
        <v>-1.5043675872338584</v>
      </c>
      <c r="AD165" s="232">
        <f t="shared" si="63"/>
        <v>-1.4819063682905149</v>
      </c>
      <c r="AE165" s="232">
        <f t="shared" si="63"/>
        <v>-1.5795859665955516</v>
      </c>
      <c r="AF165" s="232">
        <f t="shared" si="63"/>
        <v>-1.5560016867050404</v>
      </c>
      <c r="AG165" s="232">
        <f t="shared" si="63"/>
        <v>-1.6585652649253293</v>
      </c>
      <c r="AH165" s="232">
        <f t="shared" si="63"/>
        <v>-1.6338017710402932</v>
      </c>
      <c r="AI165" s="232">
        <f t="shared" si="63"/>
        <v>-1.7414935281715958</v>
      </c>
      <c r="AJ165" s="232">
        <f t="shared" si="63"/>
        <v>-1.7154918595923077</v>
      </c>
      <c r="AK165" s="232">
        <f t="shared" si="63"/>
        <v>-1.8285682045801754</v>
      </c>
      <c r="AL165" s="232">
        <f t="shared" si="63"/>
        <v>-1.8012664525719231</v>
      </c>
    </row>
    <row r="166" spans="1:38" outlineLevel="1" x14ac:dyDescent="0.2">
      <c r="B166" s="226"/>
      <c r="E166" s="256"/>
      <c r="F166" s="256"/>
      <c r="G166" s="231"/>
      <c r="H166" s="231"/>
      <c r="I166" s="231"/>
      <c r="J166" s="231"/>
      <c r="K166" s="264"/>
      <c r="L166" s="264"/>
      <c r="M166" s="264"/>
      <c r="N166" s="264"/>
      <c r="O166" s="264"/>
      <c r="P166" s="264"/>
      <c r="Q166" s="264"/>
      <c r="R166" s="264"/>
      <c r="S166" s="264"/>
      <c r="T166" s="264"/>
      <c r="U166" s="264"/>
      <c r="V166" s="264"/>
      <c r="W166" s="264"/>
      <c r="X166" s="264"/>
      <c r="Y166" s="264"/>
      <c r="Z166" s="264"/>
      <c r="AA166" s="264"/>
      <c r="AB166" s="264"/>
      <c r="AC166" s="264"/>
      <c r="AD166" s="264"/>
      <c r="AE166" s="264"/>
      <c r="AF166" s="264"/>
      <c r="AG166" s="264"/>
      <c r="AH166" s="264"/>
      <c r="AI166" s="264"/>
      <c r="AJ166" s="264"/>
      <c r="AK166" s="264"/>
      <c r="AL166" s="264"/>
    </row>
    <row r="167" spans="1:38" s="196" customFormat="1" outlineLevel="1" x14ac:dyDescent="0.2">
      <c r="B167" s="531" t="s">
        <v>60</v>
      </c>
      <c r="C167" s="274" t="s">
        <v>37</v>
      </c>
      <c r="E167" s="269"/>
      <c r="F167" s="269"/>
      <c r="G167" s="269">
        <f t="shared" ref="G167:AL167" si="64">G142-(G163+G112)</f>
        <v>0</v>
      </c>
      <c r="H167" s="269">
        <f t="shared" si="64"/>
        <v>0</v>
      </c>
      <c r="I167" s="269">
        <f t="shared" si="64"/>
        <v>0</v>
      </c>
      <c r="J167" s="269">
        <f t="shared" si="64"/>
        <v>0</v>
      </c>
      <c r="K167" s="269">
        <f t="shared" si="64"/>
        <v>0</v>
      </c>
      <c r="L167" s="269">
        <f t="shared" si="64"/>
        <v>0</v>
      </c>
      <c r="M167" s="269">
        <f t="shared" si="64"/>
        <v>0</v>
      </c>
      <c r="N167" s="269">
        <f t="shared" si="64"/>
        <v>0</v>
      </c>
      <c r="O167" s="269">
        <f t="shared" si="64"/>
        <v>0</v>
      </c>
      <c r="P167" s="269">
        <f t="shared" si="64"/>
        <v>0</v>
      </c>
      <c r="Q167" s="269">
        <f t="shared" si="64"/>
        <v>0</v>
      </c>
      <c r="R167" s="269">
        <f t="shared" si="64"/>
        <v>0</v>
      </c>
      <c r="S167" s="269">
        <f t="shared" si="64"/>
        <v>0</v>
      </c>
      <c r="T167" s="269">
        <f t="shared" si="64"/>
        <v>0</v>
      </c>
      <c r="U167" s="269">
        <f t="shared" si="64"/>
        <v>0</v>
      </c>
      <c r="V167" s="269">
        <f t="shared" si="64"/>
        <v>0</v>
      </c>
      <c r="W167" s="269">
        <f t="shared" si="64"/>
        <v>0</v>
      </c>
      <c r="X167" s="269">
        <f t="shared" si="64"/>
        <v>0</v>
      </c>
      <c r="Y167" s="269">
        <f t="shared" si="64"/>
        <v>0</v>
      </c>
      <c r="Z167" s="269">
        <f t="shared" si="64"/>
        <v>0</v>
      </c>
      <c r="AA167" s="269">
        <f t="shared" si="64"/>
        <v>0</v>
      </c>
      <c r="AB167" s="269">
        <f t="shared" si="64"/>
        <v>0</v>
      </c>
      <c r="AC167" s="269">
        <f t="shared" si="64"/>
        <v>0</v>
      </c>
      <c r="AD167" s="269">
        <f t="shared" si="64"/>
        <v>0</v>
      </c>
      <c r="AE167" s="269">
        <f t="shared" si="64"/>
        <v>0</v>
      </c>
      <c r="AF167" s="269">
        <f t="shared" si="64"/>
        <v>0</v>
      </c>
      <c r="AG167" s="269">
        <f t="shared" si="64"/>
        <v>0</v>
      </c>
      <c r="AH167" s="269">
        <f t="shared" si="64"/>
        <v>0</v>
      </c>
      <c r="AI167" s="269">
        <f t="shared" si="64"/>
        <v>0</v>
      </c>
      <c r="AJ167" s="269">
        <f t="shared" si="64"/>
        <v>0</v>
      </c>
      <c r="AK167" s="269">
        <f t="shared" si="64"/>
        <v>0</v>
      </c>
      <c r="AL167" s="269">
        <f t="shared" si="64"/>
        <v>0</v>
      </c>
    </row>
    <row r="168" spans="1:38" s="196" customFormat="1" outlineLevel="1" x14ac:dyDescent="0.2">
      <c r="B168" s="531" t="s">
        <v>75</v>
      </c>
      <c r="C168" s="274" t="s">
        <v>37</v>
      </c>
      <c r="E168" s="269"/>
      <c r="F168" s="269"/>
      <c r="G168" s="269">
        <f t="shared" ref="G168:AL168" si="65">G144-(G164+G119)</f>
        <v>0</v>
      </c>
      <c r="H168" s="269">
        <f t="shared" si="65"/>
        <v>0</v>
      </c>
      <c r="I168" s="269">
        <f t="shared" si="65"/>
        <v>9.9999999999997868E-2</v>
      </c>
      <c r="J168" s="269">
        <f t="shared" si="65"/>
        <v>-0.10000000000000142</v>
      </c>
      <c r="K168" s="269">
        <f t="shared" si="65"/>
        <v>0</v>
      </c>
      <c r="L168" s="269">
        <f t="shared" si="65"/>
        <v>0</v>
      </c>
      <c r="M168" s="269">
        <f t="shared" si="65"/>
        <v>0</v>
      </c>
      <c r="N168" s="269">
        <f t="shared" si="65"/>
        <v>0</v>
      </c>
      <c r="O168" s="269">
        <f t="shared" si="65"/>
        <v>0</v>
      </c>
      <c r="P168" s="269">
        <f t="shared" si="65"/>
        <v>0</v>
      </c>
      <c r="Q168" s="269">
        <f t="shared" si="65"/>
        <v>0</v>
      </c>
      <c r="R168" s="269">
        <f t="shared" si="65"/>
        <v>0</v>
      </c>
      <c r="S168" s="269">
        <f t="shared" si="65"/>
        <v>0</v>
      </c>
      <c r="T168" s="269">
        <f t="shared" si="65"/>
        <v>0</v>
      </c>
      <c r="U168" s="269">
        <f t="shared" si="65"/>
        <v>0</v>
      </c>
      <c r="V168" s="269">
        <f t="shared" si="65"/>
        <v>0</v>
      </c>
      <c r="W168" s="269">
        <f t="shared" si="65"/>
        <v>0</v>
      </c>
      <c r="X168" s="269">
        <f t="shared" si="65"/>
        <v>0</v>
      </c>
      <c r="Y168" s="269">
        <f t="shared" si="65"/>
        <v>0</v>
      </c>
      <c r="Z168" s="269">
        <f t="shared" si="65"/>
        <v>0</v>
      </c>
      <c r="AA168" s="269">
        <f t="shared" si="65"/>
        <v>0</v>
      </c>
      <c r="AB168" s="269">
        <f t="shared" si="65"/>
        <v>0</v>
      </c>
      <c r="AC168" s="269">
        <f t="shared" si="65"/>
        <v>0</v>
      </c>
      <c r="AD168" s="269">
        <f t="shared" si="65"/>
        <v>0</v>
      </c>
      <c r="AE168" s="269">
        <f t="shared" si="65"/>
        <v>0</v>
      </c>
      <c r="AF168" s="269">
        <f t="shared" si="65"/>
        <v>0</v>
      </c>
      <c r="AG168" s="269">
        <f t="shared" si="65"/>
        <v>0</v>
      </c>
      <c r="AH168" s="269">
        <f t="shared" si="65"/>
        <v>0</v>
      </c>
      <c r="AI168" s="269">
        <f t="shared" si="65"/>
        <v>0</v>
      </c>
      <c r="AJ168" s="269">
        <f t="shared" si="65"/>
        <v>0</v>
      </c>
      <c r="AK168" s="269">
        <f t="shared" si="65"/>
        <v>0</v>
      </c>
      <c r="AL168" s="269">
        <f t="shared" si="65"/>
        <v>0</v>
      </c>
    </row>
    <row r="169" spans="1:38" s="196" customFormat="1" outlineLevel="1" x14ac:dyDescent="0.2">
      <c r="B169" s="531" t="s">
        <v>84</v>
      </c>
      <c r="C169" s="274" t="s">
        <v>37</v>
      </c>
      <c r="E169" s="269"/>
      <c r="F169" s="269"/>
      <c r="G169" s="269">
        <f t="shared" ref="G169:AL169" si="66">G149-(G165+G126)</f>
        <v>0</v>
      </c>
      <c r="H169" s="269">
        <f t="shared" si="66"/>
        <v>0</v>
      </c>
      <c r="I169" s="269">
        <f t="shared" si="66"/>
        <v>0</v>
      </c>
      <c r="J169" s="269">
        <f t="shared" si="66"/>
        <v>0.10000000000000142</v>
      </c>
      <c r="K169" s="269">
        <f t="shared" si="66"/>
        <v>0</v>
      </c>
      <c r="L169" s="269">
        <f t="shared" si="66"/>
        <v>0</v>
      </c>
      <c r="M169" s="269">
        <f t="shared" si="66"/>
        <v>0</v>
      </c>
      <c r="N169" s="269">
        <f t="shared" si="66"/>
        <v>0</v>
      </c>
      <c r="O169" s="269">
        <f t="shared" si="66"/>
        <v>0</v>
      </c>
      <c r="P169" s="269">
        <f t="shared" si="66"/>
        <v>0</v>
      </c>
      <c r="Q169" s="269">
        <f t="shared" si="66"/>
        <v>0</v>
      </c>
      <c r="R169" s="269">
        <f t="shared" si="66"/>
        <v>0</v>
      </c>
      <c r="S169" s="269">
        <f t="shared" si="66"/>
        <v>0</v>
      </c>
      <c r="T169" s="269">
        <f t="shared" si="66"/>
        <v>0</v>
      </c>
      <c r="U169" s="269">
        <f t="shared" si="66"/>
        <v>0</v>
      </c>
      <c r="V169" s="269">
        <f t="shared" si="66"/>
        <v>0</v>
      </c>
      <c r="W169" s="269">
        <f t="shared" si="66"/>
        <v>0</v>
      </c>
      <c r="X169" s="269">
        <f t="shared" si="66"/>
        <v>0</v>
      </c>
      <c r="Y169" s="269">
        <f t="shared" si="66"/>
        <v>0</v>
      </c>
      <c r="Z169" s="269">
        <f t="shared" si="66"/>
        <v>0</v>
      </c>
      <c r="AA169" s="269">
        <f t="shared" si="66"/>
        <v>0</v>
      </c>
      <c r="AB169" s="269">
        <f t="shared" si="66"/>
        <v>0</v>
      </c>
      <c r="AC169" s="269">
        <f t="shared" si="66"/>
        <v>0</v>
      </c>
      <c r="AD169" s="269">
        <f t="shared" si="66"/>
        <v>0</v>
      </c>
      <c r="AE169" s="269">
        <f t="shared" si="66"/>
        <v>0</v>
      </c>
      <c r="AF169" s="269">
        <f t="shared" si="66"/>
        <v>0</v>
      </c>
      <c r="AG169" s="269">
        <f t="shared" si="66"/>
        <v>0</v>
      </c>
      <c r="AH169" s="269">
        <f t="shared" si="66"/>
        <v>0</v>
      </c>
      <c r="AI169" s="269">
        <f t="shared" si="66"/>
        <v>0</v>
      </c>
      <c r="AJ169" s="269">
        <f t="shared" si="66"/>
        <v>0</v>
      </c>
      <c r="AK169" s="269">
        <f t="shared" si="66"/>
        <v>0</v>
      </c>
      <c r="AL169" s="269">
        <f t="shared" si="66"/>
        <v>0</v>
      </c>
    </row>
    <row r="170" spans="1:38" outlineLevel="1" x14ac:dyDescent="0.2">
      <c r="B170" s="531"/>
      <c r="E170" s="256"/>
      <c r="F170" s="256"/>
      <c r="G170" s="269"/>
      <c r="H170" s="256"/>
      <c r="I170" s="231"/>
      <c r="J170" s="256"/>
      <c r="K170" s="256"/>
      <c r="L170" s="256"/>
      <c r="M170" s="256"/>
      <c r="N170" s="256"/>
      <c r="O170" s="256"/>
      <c r="P170" s="256"/>
      <c r="Q170" s="256"/>
      <c r="R170" s="256"/>
      <c r="S170" s="256"/>
      <c r="T170" s="256"/>
      <c r="U170" s="256"/>
      <c r="V170" s="256"/>
      <c r="W170" s="256"/>
      <c r="X170" s="256"/>
      <c r="Y170" s="256"/>
      <c r="Z170" s="256"/>
      <c r="AA170" s="256"/>
      <c r="AB170" s="256"/>
      <c r="AC170" s="256"/>
      <c r="AD170" s="256"/>
      <c r="AE170" s="256"/>
      <c r="AF170" s="256"/>
      <c r="AG170" s="256"/>
      <c r="AH170" s="256"/>
      <c r="AI170" s="256"/>
      <c r="AJ170" s="256"/>
      <c r="AK170" s="256"/>
      <c r="AL170" s="256"/>
    </row>
    <row r="171" spans="1:38" outlineLevel="1" x14ac:dyDescent="0.2">
      <c r="B171" s="550" t="s">
        <v>95</v>
      </c>
      <c r="E171" s="256"/>
      <c r="F171" s="256"/>
      <c r="G171" s="269"/>
      <c r="H171" s="256"/>
      <c r="I171" s="231"/>
      <c r="J171" s="256"/>
      <c r="K171" s="256" t="s">
        <v>96</v>
      </c>
      <c r="L171" s="256"/>
      <c r="M171" s="256"/>
      <c r="N171" s="256"/>
      <c r="O171" s="256"/>
      <c r="P171" s="256"/>
      <c r="Q171" s="256"/>
      <c r="R171" s="256"/>
      <c r="S171" s="256"/>
      <c r="T171" s="256"/>
      <c r="U171" s="256"/>
      <c r="V171" s="256"/>
      <c r="W171" s="256"/>
      <c r="X171" s="256"/>
      <c r="Y171" s="256"/>
      <c r="Z171" s="256"/>
      <c r="AA171" s="256"/>
      <c r="AB171" s="256"/>
      <c r="AC171" s="256"/>
      <c r="AD171" s="256"/>
      <c r="AE171" s="256"/>
      <c r="AF171" s="256"/>
      <c r="AG171" s="256"/>
      <c r="AH171" s="256"/>
      <c r="AI171" s="256"/>
      <c r="AJ171" s="256"/>
      <c r="AK171" s="256"/>
      <c r="AL171" s="256"/>
    </row>
    <row r="172" spans="1:38" outlineLevel="1" x14ac:dyDescent="0.2">
      <c r="B172" s="413" t="s">
        <v>97</v>
      </c>
      <c r="C172" s="205" t="s">
        <v>37</v>
      </c>
      <c r="E172" s="256"/>
      <c r="F172" s="256"/>
      <c r="G172" s="231">
        <v>-1.2</v>
      </c>
      <c r="H172" s="231">
        <f>-2.8-G172</f>
        <v>-1.5999999999999999</v>
      </c>
      <c r="I172" s="231">
        <v>-1.5</v>
      </c>
      <c r="J172" s="231">
        <f>-5.2-I172</f>
        <v>-3.7</v>
      </c>
      <c r="K172" s="232">
        <f t="shared" ref="K172:AL172" si="67">K234</f>
        <v>-1.3125</v>
      </c>
      <c r="L172" s="232">
        <f t="shared" si="67"/>
        <v>-3.3446327683615831</v>
      </c>
      <c r="M172" s="232">
        <f t="shared" si="67"/>
        <v>-1.3236797573999999</v>
      </c>
      <c r="N172" s="232">
        <f t="shared" si="67"/>
        <v>-3.2548661580779683</v>
      </c>
      <c r="O172" s="232">
        <f t="shared" si="67"/>
        <v>-1.2116760856200002</v>
      </c>
      <c r="P172" s="232">
        <f t="shared" si="67"/>
        <v>-1.0882686285765004</v>
      </c>
      <c r="Q172" s="232">
        <f t="shared" si="67"/>
        <v>-1.1600016643215003</v>
      </c>
      <c r="R172" s="232">
        <f t="shared" si="67"/>
        <v>-1.1426820600053256</v>
      </c>
      <c r="S172" s="232">
        <f t="shared" si="67"/>
        <v>-1.1787113685847499</v>
      </c>
      <c r="T172" s="232">
        <f t="shared" si="67"/>
        <v>-1.1611124158118631</v>
      </c>
      <c r="U172" s="232">
        <f t="shared" si="67"/>
        <v>-1.2376469370139878</v>
      </c>
      <c r="V172" s="232">
        <f t="shared" si="67"/>
        <v>-1.2191680366024564</v>
      </c>
      <c r="W172" s="232">
        <f t="shared" si="67"/>
        <v>-1.2995292838646868</v>
      </c>
      <c r="X172" s="232">
        <f t="shared" si="67"/>
        <v>-1.2801264384325792</v>
      </c>
      <c r="Y172" s="232">
        <f t="shared" si="67"/>
        <v>-1.364505748057921</v>
      </c>
      <c r="Z172" s="232">
        <f t="shared" si="67"/>
        <v>-1.3441327603542084</v>
      </c>
      <c r="AA172" s="232">
        <f t="shared" si="67"/>
        <v>-1.4327310354608174</v>
      </c>
      <c r="AB172" s="232">
        <f t="shared" si="67"/>
        <v>-1.4113393983719189</v>
      </c>
      <c r="AC172" s="232">
        <f t="shared" si="67"/>
        <v>-1.5043675872338584</v>
      </c>
      <c r="AD172" s="232">
        <f t="shared" si="67"/>
        <v>-1.4819063682905149</v>
      </c>
      <c r="AE172" s="232">
        <f t="shared" si="67"/>
        <v>-1.5795859665955516</v>
      </c>
      <c r="AF172" s="232">
        <f t="shared" si="67"/>
        <v>-1.5560016867050404</v>
      </c>
      <c r="AG172" s="232">
        <f t="shared" si="67"/>
        <v>-1.6585652649253293</v>
      </c>
      <c r="AH172" s="232">
        <f t="shared" si="67"/>
        <v>-1.6338017710402932</v>
      </c>
      <c r="AI172" s="232">
        <f t="shared" si="67"/>
        <v>-1.7414935281715958</v>
      </c>
      <c r="AJ172" s="232">
        <f t="shared" si="67"/>
        <v>-1.7154918595923077</v>
      </c>
      <c r="AK172" s="232">
        <f t="shared" si="67"/>
        <v>-1.8285682045801754</v>
      </c>
      <c r="AL172" s="232">
        <f t="shared" si="67"/>
        <v>-1.8012664525719231</v>
      </c>
    </row>
    <row r="173" spans="1:38" outlineLevel="1" x14ac:dyDescent="0.2">
      <c r="B173" s="413" t="s">
        <v>98</v>
      </c>
      <c r="C173" s="205" t="s">
        <v>37</v>
      </c>
      <c r="E173" s="256"/>
      <c r="F173" s="256"/>
      <c r="G173" s="231"/>
      <c r="H173" s="256"/>
      <c r="I173" s="231">
        <v>-3.7</v>
      </c>
      <c r="J173" s="231">
        <f>-4.4-I173</f>
        <v>-0.70000000000000018</v>
      </c>
      <c r="K173" s="256"/>
      <c r="L173" s="256"/>
      <c r="M173" s="256"/>
      <c r="N173" s="256"/>
      <c r="O173" s="256"/>
      <c r="P173" s="256"/>
      <c r="Q173" s="256"/>
      <c r="R173" s="256"/>
      <c r="S173" s="256"/>
      <c r="T173" s="256"/>
      <c r="U173" s="256"/>
      <c r="V173" s="256"/>
      <c r="W173" s="256"/>
      <c r="X173" s="256"/>
      <c r="Y173" s="256"/>
      <c r="Z173" s="256"/>
      <c r="AA173" s="256"/>
      <c r="AB173" s="256"/>
      <c r="AC173" s="256"/>
      <c r="AD173" s="256"/>
      <c r="AE173" s="256"/>
      <c r="AF173" s="256"/>
      <c r="AG173" s="256"/>
      <c r="AH173" s="256"/>
      <c r="AI173" s="256"/>
      <c r="AJ173" s="256"/>
      <c r="AK173" s="256"/>
      <c r="AL173" s="256"/>
    </row>
    <row r="174" spans="1:38" outlineLevel="1" x14ac:dyDescent="0.2">
      <c r="B174" s="413" t="s">
        <v>99</v>
      </c>
      <c r="C174" s="205" t="s">
        <v>37</v>
      </c>
      <c r="E174" s="256"/>
      <c r="F174" s="256"/>
      <c r="G174" s="231"/>
      <c r="H174" s="256"/>
      <c r="I174" s="231">
        <v>-6.2</v>
      </c>
      <c r="J174" s="231">
        <f>-6.2-I174</f>
        <v>0</v>
      </c>
      <c r="K174" s="256"/>
      <c r="L174" s="256"/>
      <c r="M174" s="256"/>
      <c r="N174" s="256"/>
      <c r="O174" s="256"/>
      <c r="P174" s="256"/>
      <c r="Q174" s="256"/>
      <c r="R174" s="256"/>
      <c r="S174" s="256"/>
      <c r="T174" s="256"/>
      <c r="U174" s="256"/>
      <c r="V174" s="256"/>
      <c r="W174" s="256"/>
      <c r="X174" s="256"/>
      <c r="Y174" s="256"/>
      <c r="Z174" s="256"/>
      <c r="AA174" s="256"/>
      <c r="AB174" s="256"/>
      <c r="AC174" s="256"/>
      <c r="AD174" s="256"/>
      <c r="AE174" s="256"/>
      <c r="AF174" s="256"/>
      <c r="AG174" s="256"/>
      <c r="AH174" s="256"/>
      <c r="AI174" s="256"/>
      <c r="AJ174" s="256"/>
      <c r="AK174" s="256"/>
      <c r="AL174" s="256"/>
    </row>
    <row r="175" spans="1:38" outlineLevel="1" x14ac:dyDescent="0.2">
      <c r="B175" s="413" t="s">
        <v>100</v>
      </c>
      <c r="C175" s="205" t="s">
        <v>37</v>
      </c>
      <c r="E175" s="256"/>
      <c r="F175" s="256"/>
      <c r="G175" s="231"/>
      <c r="H175" s="256"/>
      <c r="I175" s="231">
        <v>0.4</v>
      </c>
      <c r="J175" s="231">
        <f>0.5-I175</f>
        <v>9.9999999999999978E-2</v>
      </c>
      <c r="K175" s="256"/>
      <c r="L175" s="256"/>
      <c r="M175" s="256"/>
      <c r="N175" s="256"/>
      <c r="O175" s="256"/>
      <c r="P175" s="256"/>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row>
    <row r="176" spans="1:38" outlineLevel="1" x14ac:dyDescent="0.2">
      <c r="B176" s="413" t="s">
        <v>101</v>
      </c>
      <c r="C176" s="205" t="s">
        <v>37</v>
      </c>
      <c r="E176" s="256"/>
      <c r="F176" s="256"/>
      <c r="G176" s="231"/>
      <c r="H176" s="256"/>
      <c r="I176" s="231">
        <v>-0.4</v>
      </c>
      <c r="J176" s="231">
        <f>-1-0.4-I176</f>
        <v>-0.99999999999999989</v>
      </c>
      <c r="K176" s="409">
        <v>-2</v>
      </c>
      <c r="L176" s="409">
        <v>0</v>
      </c>
      <c r="M176" s="409">
        <v>0</v>
      </c>
      <c r="N176" s="409">
        <v>0</v>
      </c>
      <c r="O176" s="409">
        <v>0</v>
      </c>
      <c r="P176" s="409">
        <v>0</v>
      </c>
      <c r="Q176" s="409">
        <v>0</v>
      </c>
      <c r="R176" s="409">
        <v>0</v>
      </c>
      <c r="S176" s="409">
        <v>0</v>
      </c>
      <c r="T176" s="409">
        <v>0</v>
      </c>
      <c r="U176" s="409">
        <v>0</v>
      </c>
      <c r="V176" s="409">
        <v>0</v>
      </c>
      <c r="W176" s="409">
        <v>0</v>
      </c>
      <c r="X176" s="409">
        <v>0</v>
      </c>
      <c r="Y176" s="409">
        <v>0</v>
      </c>
      <c r="Z176" s="409">
        <v>0</v>
      </c>
      <c r="AA176" s="409">
        <v>0</v>
      </c>
      <c r="AB176" s="409">
        <v>0</v>
      </c>
      <c r="AC176" s="409">
        <v>0</v>
      </c>
      <c r="AD176" s="409">
        <v>0</v>
      </c>
      <c r="AE176" s="409">
        <v>0</v>
      </c>
      <c r="AF176" s="409">
        <v>0</v>
      </c>
      <c r="AG176" s="409">
        <v>0</v>
      </c>
      <c r="AH176" s="409">
        <v>0</v>
      </c>
      <c r="AI176" s="409">
        <v>0</v>
      </c>
      <c r="AJ176" s="409">
        <v>0</v>
      </c>
      <c r="AK176" s="409">
        <v>0</v>
      </c>
      <c r="AL176" s="409">
        <v>0</v>
      </c>
    </row>
    <row r="177" spans="1:38" outlineLevel="1" x14ac:dyDescent="0.2">
      <c r="B177" s="413" t="s">
        <v>102</v>
      </c>
      <c r="C177" s="205" t="s">
        <v>37</v>
      </c>
      <c r="E177" s="256"/>
      <c r="F177" s="256"/>
      <c r="G177" s="231"/>
      <c r="H177" s="256"/>
      <c r="I177" s="231">
        <v>-1.8</v>
      </c>
      <c r="J177" s="231">
        <f>-2.7-I177</f>
        <v>-0.90000000000000013</v>
      </c>
      <c r="K177" s="409">
        <v>-1</v>
      </c>
      <c r="L177" s="409">
        <v>-1</v>
      </c>
      <c r="M177" s="409">
        <v>-1</v>
      </c>
      <c r="N177" s="256"/>
      <c r="O177" s="256"/>
      <c r="P177" s="256"/>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row>
    <row r="178" spans="1:38" s="237" customFormat="1" outlineLevel="1" x14ac:dyDescent="0.2">
      <c r="B178" s="410" t="s">
        <v>103</v>
      </c>
      <c r="C178" s="247"/>
      <c r="E178" s="248"/>
      <c r="F178" s="248"/>
      <c r="G178" s="257"/>
      <c r="H178" s="248"/>
      <c r="I178" s="248">
        <f t="shared" ref="I178:AL178" si="68">SUM(I172:I177)</f>
        <v>-13.200000000000001</v>
      </c>
      <c r="J178" s="248">
        <f t="shared" si="68"/>
        <v>-6.2000000000000011</v>
      </c>
      <c r="K178" s="248">
        <f t="shared" si="68"/>
        <v>-4.3125</v>
      </c>
      <c r="L178" s="248">
        <f t="shared" si="68"/>
        <v>-4.3446327683615831</v>
      </c>
      <c r="M178" s="248">
        <f t="shared" si="68"/>
        <v>-2.3236797573999999</v>
      </c>
      <c r="N178" s="248">
        <f t="shared" si="68"/>
        <v>-3.2548661580779683</v>
      </c>
      <c r="O178" s="248">
        <f t="shared" si="68"/>
        <v>-1.2116760856200002</v>
      </c>
      <c r="P178" s="248">
        <f t="shared" si="68"/>
        <v>-1.0882686285765004</v>
      </c>
      <c r="Q178" s="248">
        <f t="shared" si="68"/>
        <v>-1.1600016643215003</v>
      </c>
      <c r="R178" s="248">
        <f t="shared" si="68"/>
        <v>-1.1426820600053256</v>
      </c>
      <c r="S178" s="248">
        <f t="shared" si="68"/>
        <v>-1.1787113685847499</v>
      </c>
      <c r="T178" s="248">
        <f t="shared" si="68"/>
        <v>-1.1611124158118631</v>
      </c>
      <c r="U178" s="248">
        <f t="shared" si="68"/>
        <v>-1.2376469370139878</v>
      </c>
      <c r="V178" s="248">
        <f t="shared" si="68"/>
        <v>-1.2191680366024564</v>
      </c>
      <c r="W178" s="248">
        <f t="shared" si="68"/>
        <v>-1.2995292838646868</v>
      </c>
      <c r="X178" s="248">
        <f t="shared" si="68"/>
        <v>-1.2801264384325792</v>
      </c>
      <c r="Y178" s="248">
        <f t="shared" si="68"/>
        <v>-1.364505748057921</v>
      </c>
      <c r="Z178" s="248">
        <f t="shared" si="68"/>
        <v>-1.3441327603542084</v>
      </c>
      <c r="AA178" s="248">
        <f t="shared" si="68"/>
        <v>-1.4327310354608174</v>
      </c>
      <c r="AB178" s="248">
        <f t="shared" si="68"/>
        <v>-1.4113393983719189</v>
      </c>
      <c r="AC178" s="248">
        <f t="shared" si="68"/>
        <v>-1.5043675872338584</v>
      </c>
      <c r="AD178" s="248">
        <f t="shared" si="68"/>
        <v>-1.4819063682905149</v>
      </c>
      <c r="AE178" s="248">
        <f t="shared" si="68"/>
        <v>-1.5795859665955516</v>
      </c>
      <c r="AF178" s="248">
        <f t="shared" si="68"/>
        <v>-1.5560016867050404</v>
      </c>
      <c r="AG178" s="248">
        <f t="shared" si="68"/>
        <v>-1.6585652649253293</v>
      </c>
      <c r="AH178" s="248">
        <f t="shared" si="68"/>
        <v>-1.6338017710402932</v>
      </c>
      <c r="AI178" s="248">
        <f t="shared" si="68"/>
        <v>-1.7414935281715958</v>
      </c>
      <c r="AJ178" s="248">
        <f t="shared" si="68"/>
        <v>-1.7154918595923077</v>
      </c>
      <c r="AK178" s="248">
        <f t="shared" si="68"/>
        <v>-1.8285682045801754</v>
      </c>
      <c r="AL178" s="248">
        <f t="shared" si="68"/>
        <v>-1.8012664525719231</v>
      </c>
    </row>
    <row r="179" spans="1:38" outlineLevel="1" x14ac:dyDescent="0.2">
      <c r="B179" s="413"/>
      <c r="E179" s="256"/>
      <c r="F179" s="256"/>
      <c r="G179" s="231"/>
      <c r="H179" s="256"/>
      <c r="I179" s="231"/>
      <c r="J179" s="256"/>
      <c r="K179" s="256"/>
      <c r="L179" s="256"/>
      <c r="M179" s="256"/>
      <c r="N179" s="256"/>
      <c r="O179" s="256"/>
      <c r="P179" s="256"/>
      <c r="Q179" s="256"/>
      <c r="R179" s="256"/>
      <c r="S179" s="256"/>
      <c r="T179" s="256"/>
      <c r="U179" s="256"/>
      <c r="V179" s="256"/>
      <c r="W179" s="256"/>
      <c r="X179" s="256"/>
      <c r="Y179" s="256"/>
      <c r="Z179" s="256"/>
      <c r="AA179" s="256"/>
      <c r="AB179" s="256"/>
      <c r="AC179" s="256"/>
      <c r="AD179" s="256"/>
      <c r="AE179" s="256"/>
      <c r="AF179" s="256"/>
      <c r="AG179" s="256"/>
      <c r="AH179" s="256"/>
      <c r="AI179" s="256"/>
      <c r="AJ179" s="256"/>
      <c r="AK179" s="256"/>
      <c r="AL179" s="256"/>
    </row>
    <row r="180" spans="1:38" outlineLevel="1" x14ac:dyDescent="0.2">
      <c r="B180" s="531" t="s">
        <v>84</v>
      </c>
      <c r="E180" s="256"/>
      <c r="F180" s="256"/>
      <c r="G180" s="587" t="s">
        <v>1311</v>
      </c>
      <c r="H180" s="256"/>
      <c r="I180" s="269">
        <f>I165-I178</f>
        <v>0</v>
      </c>
      <c r="J180" s="269">
        <f>J165-J178</f>
        <v>-9.9999999999999645E-2</v>
      </c>
      <c r="K180" s="256"/>
      <c r="L180" s="256"/>
      <c r="M180" s="256"/>
      <c r="N180" s="256"/>
      <c r="O180" s="256"/>
      <c r="P180" s="256"/>
      <c r="Q180" s="256"/>
      <c r="R180" s="256"/>
      <c r="S180" s="256"/>
      <c r="T180" s="256"/>
      <c r="U180" s="256"/>
      <c r="V180" s="256"/>
      <c r="W180" s="256"/>
      <c r="X180" s="256"/>
      <c r="Y180" s="256"/>
      <c r="Z180" s="256"/>
      <c r="AA180" s="256"/>
      <c r="AB180" s="256"/>
      <c r="AC180" s="256"/>
      <c r="AD180" s="256"/>
      <c r="AE180" s="256"/>
      <c r="AF180" s="256"/>
      <c r="AG180" s="256"/>
      <c r="AH180" s="256"/>
      <c r="AI180" s="256"/>
      <c r="AJ180" s="256"/>
      <c r="AK180" s="256"/>
      <c r="AL180" s="256"/>
    </row>
    <row r="181" spans="1:38" x14ac:dyDescent="0.2">
      <c r="B181" s="531"/>
      <c r="E181" s="256"/>
      <c r="F181" s="256"/>
      <c r="G181" s="256"/>
      <c r="H181" s="256"/>
      <c r="I181" s="231"/>
      <c r="J181" s="256"/>
      <c r="K181" s="256"/>
      <c r="L181" s="256"/>
      <c r="M181" s="256"/>
      <c r="N181" s="256"/>
      <c r="O181" s="256"/>
      <c r="P181" s="256"/>
      <c r="Q181" s="256"/>
      <c r="R181" s="256"/>
      <c r="S181" s="256"/>
      <c r="T181" s="256"/>
      <c r="U181" s="256"/>
      <c r="V181" s="256"/>
      <c r="W181" s="256"/>
      <c r="X181" s="256"/>
      <c r="Y181" s="256"/>
      <c r="Z181" s="256"/>
      <c r="AA181" s="256"/>
      <c r="AB181" s="256"/>
      <c r="AC181" s="256"/>
      <c r="AD181" s="256"/>
      <c r="AE181" s="256"/>
      <c r="AF181" s="256"/>
      <c r="AG181" s="256"/>
      <c r="AH181" s="256"/>
      <c r="AI181" s="256"/>
      <c r="AJ181" s="256"/>
      <c r="AK181" s="256"/>
      <c r="AL181" s="256"/>
    </row>
    <row r="182" spans="1:38" s="242" customFormat="1" x14ac:dyDescent="0.2">
      <c r="A182" s="242" t="s">
        <v>7</v>
      </c>
      <c r="B182" s="243" t="s">
        <v>104</v>
      </c>
      <c r="C182" s="244"/>
      <c r="E182" s="245"/>
      <c r="F182" s="245"/>
      <c r="G182" s="245"/>
      <c r="H182" s="245"/>
      <c r="I182" s="245"/>
      <c r="J182" s="245"/>
      <c r="K182" s="245"/>
      <c r="L182" s="245"/>
      <c r="M182" s="245"/>
      <c r="N182" s="245"/>
      <c r="O182" s="245"/>
      <c r="P182" s="245"/>
      <c r="Q182" s="245"/>
      <c r="R182" s="245"/>
      <c r="S182" s="245"/>
      <c r="T182" s="245"/>
      <c r="U182" s="245"/>
      <c r="V182" s="245"/>
      <c r="W182" s="245"/>
      <c r="X182" s="245"/>
      <c r="Y182" s="245"/>
      <c r="Z182" s="245"/>
      <c r="AA182" s="245"/>
      <c r="AB182" s="245"/>
      <c r="AC182" s="245"/>
      <c r="AD182" s="245"/>
      <c r="AE182" s="245"/>
      <c r="AF182" s="245"/>
      <c r="AG182" s="245"/>
      <c r="AH182" s="245"/>
      <c r="AI182" s="245"/>
      <c r="AJ182" s="245"/>
      <c r="AK182" s="245"/>
      <c r="AL182" s="245"/>
    </row>
    <row r="183" spans="1:38" x14ac:dyDescent="0.2">
      <c r="B183" s="531"/>
      <c r="E183" s="256"/>
      <c r="F183" s="256"/>
      <c r="G183" s="256"/>
      <c r="H183" s="256"/>
      <c r="I183" s="231"/>
      <c r="J183" s="256"/>
      <c r="K183" s="256"/>
      <c r="L183" s="256"/>
      <c r="M183" s="256"/>
      <c r="N183" s="256"/>
      <c r="O183" s="256"/>
      <c r="P183" s="256"/>
      <c r="Q183" s="256"/>
      <c r="R183" s="256"/>
      <c r="S183" s="256"/>
      <c r="T183" s="256"/>
      <c r="U183" s="256"/>
      <c r="V183" s="256"/>
      <c r="W183" s="256"/>
      <c r="X183" s="256"/>
      <c r="Y183" s="256"/>
      <c r="Z183" s="256"/>
      <c r="AA183" s="256"/>
      <c r="AB183" s="256"/>
      <c r="AC183" s="256"/>
      <c r="AD183" s="256"/>
      <c r="AE183" s="256"/>
      <c r="AF183" s="256"/>
      <c r="AG183" s="256"/>
      <c r="AH183" s="256"/>
      <c r="AI183" s="256"/>
      <c r="AJ183" s="256"/>
      <c r="AK183" s="256"/>
      <c r="AL183" s="256"/>
    </row>
    <row r="184" spans="1:38" x14ac:dyDescent="0.2">
      <c r="B184" s="246" t="s">
        <v>105</v>
      </c>
      <c r="C184" s="230"/>
      <c r="J184" s="232"/>
      <c r="K184" s="232"/>
      <c r="L184" s="232"/>
      <c r="M184" s="232"/>
      <c r="N184" s="232"/>
      <c r="O184" s="232"/>
      <c r="P184" s="232"/>
      <c r="Q184" s="232"/>
      <c r="R184" s="232"/>
      <c r="S184" s="232"/>
      <c r="T184" s="232"/>
      <c r="U184" s="232"/>
      <c r="V184" s="232"/>
      <c r="W184" s="232"/>
      <c r="X184" s="232"/>
      <c r="Y184" s="232"/>
      <c r="Z184" s="232"/>
      <c r="AA184" s="232"/>
      <c r="AB184" s="232"/>
      <c r="AC184" s="232"/>
      <c r="AD184" s="232"/>
      <c r="AE184" s="232"/>
      <c r="AF184" s="232"/>
      <c r="AG184" s="232"/>
      <c r="AH184" s="232"/>
      <c r="AI184" s="232"/>
      <c r="AJ184" s="232"/>
      <c r="AK184" s="232"/>
      <c r="AL184" s="232"/>
    </row>
    <row r="185" spans="1:38" x14ac:dyDescent="0.2">
      <c r="B185" s="413" t="s">
        <v>106</v>
      </c>
      <c r="C185" s="230" t="s">
        <v>39</v>
      </c>
      <c r="E185" s="408">
        <v>-0.22</v>
      </c>
      <c r="F185" s="408">
        <v>-0.22</v>
      </c>
      <c r="G185" s="408">
        <v>-0.22</v>
      </c>
      <c r="H185" s="408">
        <v>-0.22</v>
      </c>
      <c r="I185" s="408">
        <v>-0.22</v>
      </c>
      <c r="J185" s="408">
        <v>-0.22</v>
      </c>
      <c r="K185" s="408">
        <v>-0.22</v>
      </c>
      <c r="L185" s="408">
        <v>-0.22</v>
      </c>
      <c r="M185" s="408">
        <v>-0.22</v>
      </c>
      <c r="N185" s="408">
        <v>-0.22</v>
      </c>
      <c r="O185" s="408">
        <v>-0.22</v>
      </c>
      <c r="P185" s="408">
        <v>-0.22</v>
      </c>
      <c r="Q185" s="408">
        <v>-0.22</v>
      </c>
      <c r="R185" s="408">
        <v>-0.22</v>
      </c>
      <c r="S185" s="408">
        <v>-0.22</v>
      </c>
      <c r="T185" s="408">
        <v>-0.22</v>
      </c>
      <c r="U185" s="408">
        <v>-0.22</v>
      </c>
      <c r="V185" s="408">
        <v>-0.22</v>
      </c>
      <c r="W185" s="408">
        <v>-0.22</v>
      </c>
      <c r="X185" s="408">
        <v>-0.22</v>
      </c>
      <c r="Y185" s="408">
        <v>-0.22</v>
      </c>
      <c r="Z185" s="408">
        <v>-0.22</v>
      </c>
      <c r="AA185" s="408">
        <v>-0.22</v>
      </c>
      <c r="AB185" s="408">
        <v>-0.22</v>
      </c>
      <c r="AC185" s="408">
        <v>-0.22</v>
      </c>
      <c r="AD185" s="408">
        <v>-0.22</v>
      </c>
      <c r="AE185" s="408">
        <v>-0.22</v>
      </c>
      <c r="AF185" s="408">
        <v>-0.22</v>
      </c>
      <c r="AG185" s="408">
        <v>-0.22</v>
      </c>
      <c r="AH185" s="408">
        <v>-0.22</v>
      </c>
      <c r="AI185" s="408">
        <v>-0.22</v>
      </c>
      <c r="AJ185" s="408">
        <v>-0.22</v>
      </c>
      <c r="AK185" s="408">
        <v>-0.22</v>
      </c>
      <c r="AL185" s="408">
        <v>-0.22</v>
      </c>
    </row>
    <row r="186" spans="1:38" x14ac:dyDescent="0.2">
      <c r="B186" s="226" t="s">
        <v>107</v>
      </c>
      <c r="C186" s="230" t="s">
        <v>37</v>
      </c>
      <c r="E186" s="256">
        <f t="shared" ref="E186:AL186" si="69">E75*E185</f>
        <v>-6.7539999999999996</v>
      </c>
      <c r="F186" s="256">
        <f t="shared" si="69"/>
        <v>-7.105999999999999</v>
      </c>
      <c r="G186" s="256">
        <f t="shared" si="69"/>
        <v>-14.828000000000001</v>
      </c>
      <c r="H186" s="256">
        <f t="shared" si="69"/>
        <v>-17.688000000000002</v>
      </c>
      <c r="I186" s="256">
        <f t="shared" si="69"/>
        <v>-16.675999999999998</v>
      </c>
      <c r="J186" s="256">
        <f t="shared" si="69"/>
        <v>-18.105999999999998</v>
      </c>
      <c r="K186" s="256">
        <f t="shared" si="69"/>
        <v>-20.318126400000001</v>
      </c>
      <c r="L186" s="256">
        <f t="shared" si="69"/>
        <v>-20.014763120000008</v>
      </c>
      <c r="M186" s="256">
        <f t="shared" si="69"/>
        <v>-21.334032719999996</v>
      </c>
      <c r="N186" s="256">
        <f t="shared" si="69"/>
        <v>-21.015501276000006</v>
      </c>
      <c r="O186" s="256">
        <f t="shared" si="69"/>
        <v>-22.400734355999997</v>
      </c>
      <c r="P186" s="256">
        <f t="shared" si="69"/>
        <v>-22.066276339800009</v>
      </c>
      <c r="Q186" s="256">
        <f t="shared" si="69"/>
        <v>-23.520771073800002</v>
      </c>
      <c r="R186" s="256">
        <f t="shared" si="69"/>
        <v>-23.169590156790008</v>
      </c>
      <c r="S186" s="256">
        <f t="shared" si="69"/>
        <v>-24.696809627489998</v>
      </c>
      <c r="T186" s="256">
        <f t="shared" si="69"/>
        <v>-24.32806966462951</v>
      </c>
      <c r="U186" s="256">
        <f t="shared" si="69"/>
        <v>-25.931650108864503</v>
      </c>
      <c r="V186" s="256">
        <f t="shared" si="69"/>
        <v>-25.544473147860995</v>
      </c>
      <c r="W186" s="256">
        <f t="shared" si="69"/>
        <v>-27.228232614307725</v>
      </c>
      <c r="X186" s="256">
        <f t="shared" si="69"/>
        <v>-26.821696805254042</v>
      </c>
      <c r="Y186" s="256">
        <f t="shared" si="69"/>
        <v>-28.589644245023109</v>
      </c>
      <c r="Z186" s="256">
        <f t="shared" si="69"/>
        <v>-28.162781645516745</v>
      </c>
      <c r="AA186" s="256">
        <f t="shared" si="69"/>
        <v>-30.019126457274265</v>
      </c>
      <c r="AB186" s="256">
        <f t="shared" si="69"/>
        <v>-29.570920727792583</v>
      </c>
      <c r="AC186" s="256">
        <f t="shared" si="69"/>
        <v>-31.520082780137987</v>
      </c>
      <c r="AD186" s="256">
        <f t="shared" si="69"/>
        <v>-31.049466764182217</v>
      </c>
      <c r="AE186" s="256">
        <f t="shared" si="69"/>
        <v>-33.096086919144888</v>
      </c>
      <c r="AF186" s="256">
        <f t="shared" si="69"/>
        <v>-32.601940102391325</v>
      </c>
      <c r="AG186" s="256">
        <f t="shared" si="69"/>
        <v>-34.750891265102133</v>
      </c>
      <c r="AH186" s="256">
        <f t="shared" si="69"/>
        <v>-34.232037107510905</v>
      </c>
      <c r="AI186" s="256">
        <f t="shared" si="69"/>
        <v>-36.48843582835724</v>
      </c>
      <c r="AJ186" s="256">
        <f t="shared" si="69"/>
        <v>-35.943638962886446</v>
      </c>
      <c r="AK186" s="256">
        <f t="shared" si="69"/>
        <v>-38.312857619775102</v>
      </c>
      <c r="AL186" s="256">
        <f t="shared" si="69"/>
        <v>-37.740820911030767</v>
      </c>
    </row>
    <row r="187" spans="1:38" x14ac:dyDescent="0.2">
      <c r="B187" s="226"/>
      <c r="C187" s="230"/>
    </row>
    <row r="188" spans="1:38" x14ac:dyDescent="0.2">
      <c r="B188" s="413" t="s">
        <v>108</v>
      </c>
      <c r="C188" s="230" t="s">
        <v>39</v>
      </c>
      <c r="E188" s="408">
        <v>-2.1000000000000001E-2</v>
      </c>
      <c r="F188" s="408">
        <v>-2.1000000000000001E-2</v>
      </c>
      <c r="G188" s="408">
        <v>-2.1000000000000001E-2</v>
      </c>
      <c r="H188" s="408">
        <v>-2.1000000000000001E-2</v>
      </c>
      <c r="I188" s="408">
        <v>-2.1000000000000001E-2</v>
      </c>
      <c r="J188" s="408">
        <v>-2.1000000000000001E-2</v>
      </c>
      <c r="K188" s="408">
        <v>-2.1000000000000001E-2</v>
      </c>
      <c r="L188" s="408">
        <v>-2.1000000000000001E-2</v>
      </c>
      <c r="M188" s="408">
        <v>-2.1000000000000001E-2</v>
      </c>
      <c r="N188" s="408">
        <v>-2.1000000000000001E-2</v>
      </c>
      <c r="O188" s="408">
        <v>-2.1000000000000001E-2</v>
      </c>
      <c r="P188" s="408">
        <v>-2.1000000000000001E-2</v>
      </c>
      <c r="Q188" s="408">
        <v>-2.1000000000000001E-2</v>
      </c>
      <c r="R188" s="408">
        <v>-2.1000000000000001E-2</v>
      </c>
      <c r="S188" s="408">
        <v>-2.1000000000000001E-2</v>
      </c>
      <c r="T188" s="408">
        <v>-2.1000000000000001E-2</v>
      </c>
      <c r="U188" s="408">
        <v>-2.1000000000000001E-2</v>
      </c>
      <c r="V188" s="408">
        <v>-2.1000000000000001E-2</v>
      </c>
      <c r="W188" s="408">
        <v>-2.1000000000000001E-2</v>
      </c>
      <c r="X188" s="408">
        <v>-2.1000000000000001E-2</v>
      </c>
      <c r="Y188" s="408">
        <v>-2.1000000000000001E-2</v>
      </c>
      <c r="Z188" s="408">
        <v>-2.1000000000000001E-2</v>
      </c>
      <c r="AA188" s="408">
        <v>-2.1000000000000001E-2</v>
      </c>
      <c r="AB188" s="408">
        <v>-2.1000000000000001E-2</v>
      </c>
      <c r="AC188" s="408">
        <v>-2.1000000000000001E-2</v>
      </c>
      <c r="AD188" s="408">
        <v>-2.1000000000000001E-2</v>
      </c>
      <c r="AE188" s="408">
        <v>-2.1000000000000001E-2</v>
      </c>
      <c r="AF188" s="408">
        <v>-2.1000000000000001E-2</v>
      </c>
      <c r="AG188" s="408">
        <v>-2.1000000000000001E-2</v>
      </c>
      <c r="AH188" s="408">
        <v>-2.1000000000000001E-2</v>
      </c>
      <c r="AI188" s="408">
        <v>-2.1000000000000001E-2</v>
      </c>
      <c r="AJ188" s="408">
        <v>-2.1000000000000001E-2</v>
      </c>
      <c r="AK188" s="408">
        <v>-2.1000000000000001E-2</v>
      </c>
      <c r="AL188" s="408">
        <v>-2.1000000000000001E-2</v>
      </c>
    </row>
    <row r="189" spans="1:38" x14ac:dyDescent="0.2">
      <c r="B189" s="226" t="s">
        <v>109</v>
      </c>
      <c r="C189" s="230" t="s">
        <v>37</v>
      </c>
      <c r="E189" s="256">
        <f t="shared" ref="E189:AL189" si="70">E188*E64</f>
        <v>-6.2748000000000008</v>
      </c>
      <c r="F189" s="256">
        <f t="shared" si="70"/>
        <v>-6.1551</v>
      </c>
      <c r="G189" s="256">
        <f t="shared" si="70"/>
        <v>-13.547100000000002</v>
      </c>
      <c r="H189" s="256">
        <f t="shared" si="70"/>
        <v>-16.281300000000002</v>
      </c>
      <c r="I189" s="256">
        <f t="shared" si="70"/>
        <v>-16.953299999999999</v>
      </c>
      <c r="J189" s="256">
        <f t="shared" si="70"/>
        <v>-16.535400000000003</v>
      </c>
      <c r="K189" s="256">
        <f t="shared" si="70"/>
        <v>-18.648630000000001</v>
      </c>
      <c r="L189" s="256">
        <f t="shared" si="70"/>
        <v>-17.527524000000003</v>
      </c>
      <c r="M189" s="256">
        <f t="shared" si="70"/>
        <v>-19.581061500000001</v>
      </c>
      <c r="N189" s="256">
        <f t="shared" si="70"/>
        <v>-18.403900200000006</v>
      </c>
      <c r="O189" s="256">
        <f t="shared" si="70"/>
        <v>-20.560114575000004</v>
      </c>
      <c r="P189" s="256">
        <f t="shared" si="70"/>
        <v>-19.324095210000007</v>
      </c>
      <c r="Q189" s="256">
        <f t="shared" si="70"/>
        <v>-21.588120303750003</v>
      </c>
      <c r="R189" s="256">
        <f t="shared" si="70"/>
        <v>-20.290299970500008</v>
      </c>
      <c r="S189" s="256">
        <f t="shared" si="70"/>
        <v>-22.667526318937504</v>
      </c>
      <c r="T189" s="256">
        <f t="shared" si="70"/>
        <v>-21.30481496902501</v>
      </c>
      <c r="U189" s="256">
        <f t="shared" si="70"/>
        <v>-23.80090263488438</v>
      </c>
      <c r="V189" s="256">
        <f t="shared" si="70"/>
        <v>-22.370055717476262</v>
      </c>
      <c r="W189" s="256">
        <f t="shared" si="70"/>
        <v>-24.990947766628597</v>
      </c>
      <c r="X189" s="256">
        <f t="shared" si="70"/>
        <v>-23.488558503350077</v>
      </c>
      <c r="Y189" s="256">
        <f t="shared" si="70"/>
        <v>-26.240495154960026</v>
      </c>
      <c r="Z189" s="256">
        <f t="shared" si="70"/>
        <v>-24.662986428517584</v>
      </c>
      <c r="AA189" s="256">
        <f t="shared" si="70"/>
        <v>-27.552519912708028</v>
      </c>
      <c r="AB189" s="256">
        <f t="shared" si="70"/>
        <v>-25.896135749943465</v>
      </c>
      <c r="AC189" s="256">
        <f t="shared" si="70"/>
        <v>-28.930145908343434</v>
      </c>
      <c r="AD189" s="256">
        <f t="shared" si="70"/>
        <v>-27.190942537440637</v>
      </c>
      <c r="AE189" s="256">
        <f t="shared" si="70"/>
        <v>-30.376653203760608</v>
      </c>
      <c r="AF189" s="256">
        <f t="shared" si="70"/>
        <v>-28.550489664312671</v>
      </c>
      <c r="AG189" s="256">
        <f t="shared" si="70"/>
        <v>-31.89548586394864</v>
      </c>
      <c r="AH189" s="256">
        <f t="shared" si="70"/>
        <v>-29.978014147528306</v>
      </c>
      <c r="AI189" s="256">
        <f t="shared" si="70"/>
        <v>-33.490260157146075</v>
      </c>
      <c r="AJ189" s="256">
        <f t="shared" si="70"/>
        <v>-31.476914854904724</v>
      </c>
      <c r="AK189" s="256">
        <f t="shared" si="70"/>
        <v>-35.164773165003375</v>
      </c>
      <c r="AL189" s="256">
        <f t="shared" si="70"/>
        <v>-33.050760597649962</v>
      </c>
    </row>
    <row r="190" spans="1:38" x14ac:dyDescent="0.2">
      <c r="B190" s="226"/>
      <c r="C190" s="230"/>
      <c r="J190" s="232"/>
      <c r="K190" s="232"/>
      <c r="L190" s="232"/>
      <c r="M190" s="232"/>
      <c r="N190" s="232"/>
      <c r="O190" s="232"/>
      <c r="P190" s="232"/>
      <c r="Q190" s="232"/>
      <c r="R190" s="232"/>
      <c r="S190" s="232"/>
      <c r="T190" s="232"/>
      <c r="U190" s="232"/>
      <c r="V190" s="232"/>
      <c r="W190" s="232"/>
      <c r="X190" s="232"/>
      <c r="Y190" s="232"/>
      <c r="Z190" s="232"/>
      <c r="AA190" s="232"/>
      <c r="AB190" s="232"/>
      <c r="AC190" s="232"/>
      <c r="AD190" s="232"/>
      <c r="AE190" s="232"/>
      <c r="AF190" s="232"/>
      <c r="AG190" s="232"/>
      <c r="AH190" s="232"/>
      <c r="AI190" s="232"/>
      <c r="AJ190" s="232"/>
      <c r="AK190" s="232"/>
      <c r="AL190" s="232"/>
    </row>
    <row r="191" spans="1:38" x14ac:dyDescent="0.2">
      <c r="B191" s="226" t="s">
        <v>110</v>
      </c>
      <c r="C191" s="230" t="s">
        <v>37</v>
      </c>
      <c r="G191" s="409">
        <f>-1.4/2</f>
        <v>-0.7</v>
      </c>
      <c r="H191" s="409">
        <f>-1.4/2</f>
        <v>-0.7</v>
      </c>
      <c r="I191" s="409">
        <f>-2.9/2</f>
        <v>-1.45</v>
      </c>
      <c r="J191" s="409">
        <f>-2.9/2</f>
        <v>-1.45</v>
      </c>
      <c r="K191" s="409">
        <v>-1</v>
      </c>
      <c r="L191" s="409">
        <v>-0.5</v>
      </c>
      <c r="M191" s="409">
        <v>-0.3</v>
      </c>
      <c r="N191" s="409">
        <v>-0.3</v>
      </c>
      <c r="O191" s="232">
        <f t="shared" ref="O191:AL191" si="71">M191*(1+O192)</f>
        <v>-0.309</v>
      </c>
      <c r="P191" s="232">
        <f t="shared" si="71"/>
        <v>-0.309</v>
      </c>
      <c r="Q191" s="232">
        <f t="shared" si="71"/>
        <v>-0.31827</v>
      </c>
      <c r="R191" s="232">
        <f t="shared" si="71"/>
        <v>-0.31827</v>
      </c>
      <c r="S191" s="232">
        <f t="shared" si="71"/>
        <v>-0.3278181</v>
      </c>
      <c r="T191" s="232">
        <f t="shared" si="71"/>
        <v>-0.3278181</v>
      </c>
      <c r="U191" s="232">
        <f t="shared" si="71"/>
        <v>-0.33765264300000003</v>
      </c>
      <c r="V191" s="232">
        <f t="shared" si="71"/>
        <v>-0.33765264300000003</v>
      </c>
      <c r="W191" s="232">
        <f t="shared" si="71"/>
        <v>-0.34778222229000005</v>
      </c>
      <c r="X191" s="232">
        <f t="shared" si="71"/>
        <v>-0.34778222229000005</v>
      </c>
      <c r="Y191" s="232">
        <f t="shared" si="71"/>
        <v>-0.35821568895870004</v>
      </c>
      <c r="Z191" s="232">
        <f t="shared" si="71"/>
        <v>-0.35821568895870004</v>
      </c>
      <c r="AA191" s="232">
        <f t="shared" si="71"/>
        <v>-0.36896215962746104</v>
      </c>
      <c r="AB191" s="232">
        <f t="shared" si="71"/>
        <v>-0.36896215962746104</v>
      </c>
      <c r="AC191" s="232">
        <f t="shared" si="71"/>
        <v>-0.38003102441628489</v>
      </c>
      <c r="AD191" s="232">
        <f t="shared" si="71"/>
        <v>-0.38003102441628489</v>
      </c>
      <c r="AE191" s="232">
        <f t="shared" si="71"/>
        <v>-0.39143195514877344</v>
      </c>
      <c r="AF191" s="232">
        <f t="shared" si="71"/>
        <v>-0.39143195514877344</v>
      </c>
      <c r="AG191" s="232">
        <f t="shared" si="71"/>
        <v>-0.40317491380323667</v>
      </c>
      <c r="AH191" s="232">
        <f t="shared" si="71"/>
        <v>-0.40317491380323667</v>
      </c>
      <c r="AI191" s="232">
        <f t="shared" si="71"/>
        <v>-0.41527016121733379</v>
      </c>
      <c r="AJ191" s="232">
        <f t="shared" si="71"/>
        <v>-0.41527016121733379</v>
      </c>
      <c r="AK191" s="232">
        <f t="shared" si="71"/>
        <v>-0.42772826605385383</v>
      </c>
      <c r="AL191" s="232">
        <f t="shared" si="71"/>
        <v>-0.42772826605385383</v>
      </c>
    </row>
    <row r="192" spans="1:38" x14ac:dyDescent="0.2">
      <c r="B192" s="413" t="s">
        <v>111</v>
      </c>
      <c r="C192" s="230" t="s">
        <v>39</v>
      </c>
      <c r="J192" s="264"/>
      <c r="K192" s="408">
        <v>0.03</v>
      </c>
      <c r="L192" s="282">
        <f t="shared" ref="L192:AL192" si="72">K192</f>
        <v>0.03</v>
      </c>
      <c r="M192" s="282">
        <f t="shared" si="72"/>
        <v>0.03</v>
      </c>
      <c r="N192" s="282">
        <f t="shared" si="72"/>
        <v>0.03</v>
      </c>
      <c r="O192" s="282">
        <f t="shared" si="72"/>
        <v>0.03</v>
      </c>
      <c r="P192" s="282">
        <f t="shared" si="72"/>
        <v>0.03</v>
      </c>
      <c r="Q192" s="282">
        <f t="shared" si="72"/>
        <v>0.03</v>
      </c>
      <c r="R192" s="282">
        <f t="shared" si="72"/>
        <v>0.03</v>
      </c>
      <c r="S192" s="282">
        <f t="shared" si="72"/>
        <v>0.03</v>
      </c>
      <c r="T192" s="282">
        <f t="shared" si="72"/>
        <v>0.03</v>
      </c>
      <c r="U192" s="282">
        <f t="shared" si="72"/>
        <v>0.03</v>
      </c>
      <c r="V192" s="282">
        <f t="shared" si="72"/>
        <v>0.03</v>
      </c>
      <c r="W192" s="282">
        <f t="shared" si="72"/>
        <v>0.03</v>
      </c>
      <c r="X192" s="282">
        <f t="shared" si="72"/>
        <v>0.03</v>
      </c>
      <c r="Y192" s="282">
        <f t="shared" si="72"/>
        <v>0.03</v>
      </c>
      <c r="Z192" s="282">
        <f t="shared" si="72"/>
        <v>0.03</v>
      </c>
      <c r="AA192" s="282">
        <f t="shared" si="72"/>
        <v>0.03</v>
      </c>
      <c r="AB192" s="282">
        <f t="shared" si="72"/>
        <v>0.03</v>
      </c>
      <c r="AC192" s="282">
        <f t="shared" si="72"/>
        <v>0.03</v>
      </c>
      <c r="AD192" s="282">
        <f t="shared" si="72"/>
        <v>0.03</v>
      </c>
      <c r="AE192" s="282">
        <f t="shared" si="72"/>
        <v>0.03</v>
      </c>
      <c r="AF192" s="282">
        <f t="shared" si="72"/>
        <v>0.03</v>
      </c>
      <c r="AG192" s="282">
        <f t="shared" si="72"/>
        <v>0.03</v>
      </c>
      <c r="AH192" s="282">
        <f t="shared" si="72"/>
        <v>0.03</v>
      </c>
      <c r="AI192" s="282">
        <f t="shared" si="72"/>
        <v>0.03</v>
      </c>
      <c r="AJ192" s="282">
        <f t="shared" si="72"/>
        <v>0.03</v>
      </c>
      <c r="AK192" s="282">
        <f t="shared" si="72"/>
        <v>0.03</v>
      </c>
      <c r="AL192" s="282">
        <f t="shared" si="72"/>
        <v>0.03</v>
      </c>
    </row>
    <row r="193" spans="2:38" x14ac:dyDescent="0.2">
      <c r="B193" s="226"/>
      <c r="C193" s="230"/>
      <c r="I193" s="264"/>
      <c r="J193" s="264"/>
      <c r="K193" s="232"/>
      <c r="L193" s="232"/>
      <c r="M193" s="232"/>
      <c r="N193" s="232"/>
      <c r="O193" s="232"/>
      <c r="P193" s="232"/>
      <c r="Q193" s="232"/>
      <c r="R193" s="232"/>
      <c r="S193" s="232"/>
      <c r="T193" s="232"/>
      <c r="U193" s="232"/>
      <c r="V193" s="232"/>
      <c r="W193" s="232"/>
      <c r="X193" s="232"/>
      <c r="Y193" s="232"/>
      <c r="Z193" s="232"/>
      <c r="AA193" s="232"/>
      <c r="AB193" s="232"/>
      <c r="AC193" s="232"/>
      <c r="AD193" s="232"/>
      <c r="AE193" s="232"/>
      <c r="AF193" s="232"/>
      <c r="AG193" s="232"/>
      <c r="AH193" s="232"/>
      <c r="AI193" s="232"/>
      <c r="AJ193" s="232"/>
      <c r="AK193" s="232"/>
      <c r="AL193" s="232"/>
    </row>
    <row r="194" spans="2:38" x14ac:dyDescent="0.2">
      <c r="B194" s="226" t="s">
        <v>112</v>
      </c>
      <c r="C194" s="230" t="s">
        <v>37</v>
      </c>
      <c r="H194" s="256"/>
      <c r="I194" s="409">
        <v>-2</v>
      </c>
      <c r="J194" s="232">
        <f t="shared" ref="J194:AL194" si="73">J195*J64</f>
        <v>-3.1496000000000004</v>
      </c>
      <c r="K194" s="232">
        <f t="shared" si="73"/>
        <v>-3.5521199999999999</v>
      </c>
      <c r="L194" s="232">
        <f t="shared" si="73"/>
        <v>-3.3385760000000007</v>
      </c>
      <c r="M194" s="232">
        <f t="shared" si="73"/>
        <v>-3.7297260000000003</v>
      </c>
      <c r="N194" s="232">
        <f t="shared" si="73"/>
        <v>-3.5055048000000006</v>
      </c>
      <c r="O194" s="232">
        <f t="shared" si="73"/>
        <v>-3.9162123000000002</v>
      </c>
      <c r="P194" s="232">
        <f t="shared" si="73"/>
        <v>-3.680780040000001</v>
      </c>
      <c r="Q194" s="232">
        <f t="shared" si="73"/>
        <v>-4.1120229150000007</v>
      </c>
      <c r="R194" s="232">
        <f t="shared" si="73"/>
        <v>-3.8648190420000015</v>
      </c>
      <c r="S194" s="232">
        <f t="shared" si="73"/>
        <v>-4.31762406075</v>
      </c>
      <c r="T194" s="232">
        <f t="shared" si="73"/>
        <v>-4.0580599941000015</v>
      </c>
      <c r="U194" s="232">
        <f t="shared" si="73"/>
        <v>-4.5335052637875011</v>
      </c>
      <c r="V194" s="232">
        <f t="shared" si="73"/>
        <v>-4.260962993805002</v>
      </c>
      <c r="W194" s="232">
        <f t="shared" si="73"/>
        <v>-4.7601805269768755</v>
      </c>
      <c r="X194" s="232">
        <f t="shared" si="73"/>
        <v>-4.4740111434952521</v>
      </c>
      <c r="Y194" s="232">
        <f t="shared" si="73"/>
        <v>-4.9981895533257195</v>
      </c>
      <c r="Z194" s="232">
        <f t="shared" si="73"/>
        <v>-4.6977117006700153</v>
      </c>
      <c r="AA194" s="232">
        <f t="shared" si="73"/>
        <v>-5.2480990309920053</v>
      </c>
      <c r="AB194" s="232">
        <f t="shared" si="73"/>
        <v>-4.9325972857035172</v>
      </c>
      <c r="AC194" s="232">
        <f t="shared" si="73"/>
        <v>-5.5105039825416062</v>
      </c>
      <c r="AD194" s="232">
        <f t="shared" si="73"/>
        <v>-5.1792271499886926</v>
      </c>
      <c r="AE194" s="232">
        <f t="shared" si="73"/>
        <v>-5.7860291816686873</v>
      </c>
      <c r="AF194" s="232">
        <f t="shared" si="73"/>
        <v>-5.4381885074881273</v>
      </c>
      <c r="AG194" s="232">
        <f t="shared" si="73"/>
        <v>-6.0753306407521217</v>
      </c>
      <c r="AH194" s="232">
        <f t="shared" si="73"/>
        <v>-5.710097932862535</v>
      </c>
      <c r="AI194" s="232">
        <f t="shared" si="73"/>
        <v>-6.3790971727897281</v>
      </c>
      <c r="AJ194" s="232">
        <f t="shared" si="73"/>
        <v>-5.9956028295056614</v>
      </c>
      <c r="AK194" s="232">
        <f t="shared" si="73"/>
        <v>-6.6980520314292145</v>
      </c>
      <c r="AL194" s="232">
        <f t="shared" si="73"/>
        <v>-6.2953829709809446</v>
      </c>
    </row>
    <row r="195" spans="2:38" x14ac:dyDescent="0.2">
      <c r="B195" s="413" t="s">
        <v>113</v>
      </c>
      <c r="C195" s="230" t="s">
        <v>39</v>
      </c>
      <c r="H195" s="256"/>
      <c r="I195" s="256"/>
      <c r="J195" s="408">
        <v>-4.0000000000000001E-3</v>
      </c>
      <c r="K195" s="408">
        <v>-4.0000000000000001E-3</v>
      </c>
      <c r="L195" s="408">
        <v>-4.0000000000000001E-3</v>
      </c>
      <c r="M195" s="408">
        <v>-4.0000000000000001E-3</v>
      </c>
      <c r="N195" s="408">
        <v>-4.0000000000000001E-3</v>
      </c>
      <c r="O195" s="408">
        <v>-4.0000000000000001E-3</v>
      </c>
      <c r="P195" s="408">
        <v>-4.0000000000000001E-3</v>
      </c>
      <c r="Q195" s="408">
        <v>-4.0000000000000001E-3</v>
      </c>
      <c r="R195" s="408">
        <v>-4.0000000000000001E-3</v>
      </c>
      <c r="S195" s="408">
        <v>-4.0000000000000001E-3</v>
      </c>
      <c r="T195" s="408">
        <v>-4.0000000000000001E-3</v>
      </c>
      <c r="U195" s="408">
        <v>-4.0000000000000001E-3</v>
      </c>
      <c r="V195" s="408">
        <v>-4.0000000000000001E-3</v>
      </c>
      <c r="W195" s="408">
        <v>-4.0000000000000001E-3</v>
      </c>
      <c r="X195" s="408">
        <v>-4.0000000000000001E-3</v>
      </c>
      <c r="Y195" s="408">
        <v>-4.0000000000000001E-3</v>
      </c>
      <c r="Z195" s="408">
        <v>-4.0000000000000001E-3</v>
      </c>
      <c r="AA195" s="408">
        <v>-4.0000000000000001E-3</v>
      </c>
      <c r="AB195" s="408">
        <v>-4.0000000000000001E-3</v>
      </c>
      <c r="AC195" s="408">
        <v>-4.0000000000000001E-3</v>
      </c>
      <c r="AD195" s="408">
        <v>-4.0000000000000001E-3</v>
      </c>
      <c r="AE195" s="408">
        <v>-4.0000000000000001E-3</v>
      </c>
      <c r="AF195" s="408">
        <v>-4.0000000000000001E-3</v>
      </c>
      <c r="AG195" s="408">
        <v>-4.0000000000000001E-3</v>
      </c>
      <c r="AH195" s="408">
        <v>-4.0000000000000001E-3</v>
      </c>
      <c r="AI195" s="408">
        <v>-4.0000000000000001E-3</v>
      </c>
      <c r="AJ195" s="408">
        <v>-4.0000000000000001E-3</v>
      </c>
      <c r="AK195" s="408">
        <v>-4.0000000000000001E-3</v>
      </c>
      <c r="AL195" s="408">
        <v>-4.0000000000000001E-3</v>
      </c>
    </row>
    <row r="196" spans="2:38" x14ac:dyDescent="0.2">
      <c r="B196" s="226"/>
      <c r="C196" s="230"/>
      <c r="J196" s="232"/>
      <c r="K196" s="232"/>
      <c r="L196" s="232"/>
      <c r="M196" s="232"/>
      <c r="N196" s="232"/>
      <c r="O196" s="232"/>
      <c r="P196" s="232"/>
      <c r="Q196" s="232"/>
      <c r="R196" s="232"/>
      <c r="S196" s="232"/>
      <c r="T196" s="232"/>
      <c r="U196" s="232"/>
      <c r="V196" s="232"/>
      <c r="W196" s="232"/>
      <c r="X196" s="232"/>
      <c r="Y196" s="232"/>
      <c r="Z196" s="232"/>
      <c r="AA196" s="232"/>
      <c r="AB196" s="232"/>
      <c r="AC196" s="232"/>
      <c r="AD196" s="232"/>
      <c r="AE196" s="232"/>
      <c r="AF196" s="232"/>
      <c r="AG196" s="232"/>
      <c r="AH196" s="232"/>
      <c r="AI196" s="232"/>
      <c r="AJ196" s="232"/>
      <c r="AK196" s="232"/>
      <c r="AL196" s="232"/>
    </row>
    <row r="197" spans="2:38" x14ac:dyDescent="0.2">
      <c r="B197" s="226" t="s">
        <v>114</v>
      </c>
      <c r="C197" s="230" t="s">
        <v>37</v>
      </c>
      <c r="E197" s="256">
        <f t="shared" ref="E197:AL197" si="74">E186</f>
        <v>-6.7539999999999996</v>
      </c>
      <c r="F197" s="256">
        <f t="shared" si="74"/>
        <v>-7.105999999999999</v>
      </c>
      <c r="G197" s="256">
        <f t="shared" si="74"/>
        <v>-14.828000000000001</v>
      </c>
      <c r="H197" s="256">
        <f t="shared" si="74"/>
        <v>-17.688000000000002</v>
      </c>
      <c r="I197" s="256">
        <f t="shared" si="74"/>
        <v>-16.675999999999998</v>
      </c>
      <c r="J197" s="256">
        <f t="shared" ref="J197" si="75">J186</f>
        <v>-18.105999999999998</v>
      </c>
      <c r="K197" s="256">
        <f t="shared" si="74"/>
        <v>-20.318126400000001</v>
      </c>
      <c r="L197" s="256">
        <f t="shared" si="74"/>
        <v>-20.014763120000008</v>
      </c>
      <c r="M197" s="256">
        <f t="shared" si="74"/>
        <v>-21.334032719999996</v>
      </c>
      <c r="N197" s="256">
        <f t="shared" si="74"/>
        <v>-21.015501276000006</v>
      </c>
      <c r="O197" s="256">
        <f t="shared" si="74"/>
        <v>-22.400734355999997</v>
      </c>
      <c r="P197" s="256">
        <f t="shared" si="74"/>
        <v>-22.066276339800009</v>
      </c>
      <c r="Q197" s="256">
        <f t="shared" si="74"/>
        <v>-23.520771073800002</v>
      </c>
      <c r="R197" s="256">
        <f t="shared" si="74"/>
        <v>-23.169590156790008</v>
      </c>
      <c r="S197" s="256">
        <f t="shared" si="74"/>
        <v>-24.696809627489998</v>
      </c>
      <c r="T197" s="256">
        <f t="shared" si="74"/>
        <v>-24.32806966462951</v>
      </c>
      <c r="U197" s="256">
        <f t="shared" si="74"/>
        <v>-25.931650108864503</v>
      </c>
      <c r="V197" s="256">
        <f t="shared" si="74"/>
        <v>-25.544473147860995</v>
      </c>
      <c r="W197" s="256">
        <f t="shared" si="74"/>
        <v>-27.228232614307725</v>
      </c>
      <c r="X197" s="256">
        <f t="shared" si="74"/>
        <v>-26.821696805254042</v>
      </c>
      <c r="Y197" s="256">
        <f t="shared" si="74"/>
        <v>-28.589644245023109</v>
      </c>
      <c r="Z197" s="256">
        <f t="shared" si="74"/>
        <v>-28.162781645516745</v>
      </c>
      <c r="AA197" s="256">
        <f t="shared" si="74"/>
        <v>-30.019126457274265</v>
      </c>
      <c r="AB197" s="256">
        <f t="shared" si="74"/>
        <v>-29.570920727792583</v>
      </c>
      <c r="AC197" s="256">
        <f t="shared" si="74"/>
        <v>-31.520082780137987</v>
      </c>
      <c r="AD197" s="256">
        <f t="shared" si="74"/>
        <v>-31.049466764182217</v>
      </c>
      <c r="AE197" s="256">
        <f t="shared" si="74"/>
        <v>-33.096086919144888</v>
      </c>
      <c r="AF197" s="256">
        <f t="shared" si="74"/>
        <v>-32.601940102391325</v>
      </c>
      <c r="AG197" s="256">
        <f t="shared" si="74"/>
        <v>-34.750891265102133</v>
      </c>
      <c r="AH197" s="256">
        <f t="shared" si="74"/>
        <v>-34.232037107510905</v>
      </c>
      <c r="AI197" s="256">
        <f t="shared" si="74"/>
        <v>-36.48843582835724</v>
      </c>
      <c r="AJ197" s="256">
        <f t="shared" si="74"/>
        <v>-35.943638962886446</v>
      </c>
      <c r="AK197" s="256">
        <f t="shared" si="74"/>
        <v>-38.312857619775102</v>
      </c>
      <c r="AL197" s="256">
        <f t="shared" si="74"/>
        <v>-37.740820911030767</v>
      </c>
    </row>
    <row r="198" spans="2:38" x14ac:dyDescent="0.2">
      <c r="B198" s="226" t="s">
        <v>115</v>
      </c>
      <c r="C198" s="230" t="s">
        <v>37</v>
      </c>
      <c r="E198" s="256">
        <f t="shared" ref="E198:AL198" si="76">E189</f>
        <v>-6.2748000000000008</v>
      </c>
      <c r="F198" s="256">
        <f t="shared" si="76"/>
        <v>-6.1551</v>
      </c>
      <c r="G198" s="256">
        <f t="shared" si="76"/>
        <v>-13.547100000000002</v>
      </c>
      <c r="H198" s="256">
        <f t="shared" si="76"/>
        <v>-16.281300000000002</v>
      </c>
      <c r="I198" s="256">
        <f t="shared" si="76"/>
        <v>-16.953299999999999</v>
      </c>
      <c r="J198" s="256">
        <f t="shared" ref="J198" si="77">J189</f>
        <v>-16.535400000000003</v>
      </c>
      <c r="K198" s="256">
        <f t="shared" si="76"/>
        <v>-18.648630000000001</v>
      </c>
      <c r="L198" s="256">
        <f t="shared" si="76"/>
        <v>-17.527524000000003</v>
      </c>
      <c r="M198" s="256">
        <f t="shared" si="76"/>
        <v>-19.581061500000001</v>
      </c>
      <c r="N198" s="256">
        <f t="shared" si="76"/>
        <v>-18.403900200000006</v>
      </c>
      <c r="O198" s="256">
        <f t="shared" si="76"/>
        <v>-20.560114575000004</v>
      </c>
      <c r="P198" s="256">
        <f t="shared" si="76"/>
        <v>-19.324095210000007</v>
      </c>
      <c r="Q198" s="256">
        <f t="shared" si="76"/>
        <v>-21.588120303750003</v>
      </c>
      <c r="R198" s="256">
        <f t="shared" si="76"/>
        <v>-20.290299970500008</v>
      </c>
      <c r="S198" s="256">
        <f t="shared" si="76"/>
        <v>-22.667526318937504</v>
      </c>
      <c r="T198" s="256">
        <f t="shared" si="76"/>
        <v>-21.30481496902501</v>
      </c>
      <c r="U198" s="256">
        <f t="shared" si="76"/>
        <v>-23.80090263488438</v>
      </c>
      <c r="V198" s="256">
        <f t="shared" si="76"/>
        <v>-22.370055717476262</v>
      </c>
      <c r="W198" s="256">
        <f t="shared" si="76"/>
        <v>-24.990947766628597</v>
      </c>
      <c r="X198" s="256">
        <f t="shared" si="76"/>
        <v>-23.488558503350077</v>
      </c>
      <c r="Y198" s="256">
        <f t="shared" si="76"/>
        <v>-26.240495154960026</v>
      </c>
      <c r="Z198" s="256">
        <f t="shared" si="76"/>
        <v>-24.662986428517584</v>
      </c>
      <c r="AA198" s="256">
        <f t="shared" si="76"/>
        <v>-27.552519912708028</v>
      </c>
      <c r="AB198" s="256">
        <f t="shared" si="76"/>
        <v>-25.896135749943465</v>
      </c>
      <c r="AC198" s="256">
        <f t="shared" si="76"/>
        <v>-28.930145908343434</v>
      </c>
      <c r="AD198" s="256">
        <f t="shared" si="76"/>
        <v>-27.190942537440637</v>
      </c>
      <c r="AE198" s="256">
        <f t="shared" si="76"/>
        <v>-30.376653203760608</v>
      </c>
      <c r="AF198" s="256">
        <f t="shared" si="76"/>
        <v>-28.550489664312671</v>
      </c>
      <c r="AG198" s="256">
        <f t="shared" si="76"/>
        <v>-31.89548586394864</v>
      </c>
      <c r="AH198" s="256">
        <f t="shared" si="76"/>
        <v>-29.978014147528306</v>
      </c>
      <c r="AI198" s="256">
        <f t="shared" si="76"/>
        <v>-33.490260157146075</v>
      </c>
      <c r="AJ198" s="256">
        <f t="shared" si="76"/>
        <v>-31.476914854904724</v>
      </c>
      <c r="AK198" s="256">
        <f t="shared" si="76"/>
        <v>-35.164773165003375</v>
      </c>
      <c r="AL198" s="256">
        <f t="shared" si="76"/>
        <v>-33.050760597649962</v>
      </c>
    </row>
    <row r="199" spans="2:38" x14ac:dyDescent="0.2">
      <c r="B199" s="226" t="s">
        <v>110</v>
      </c>
      <c r="C199" s="230" t="s">
        <v>37</v>
      </c>
      <c r="E199" s="256">
        <f t="shared" ref="E199:AL199" si="78">E191</f>
        <v>0</v>
      </c>
      <c r="F199" s="256">
        <f t="shared" si="78"/>
        <v>0</v>
      </c>
      <c r="G199" s="256">
        <f t="shared" si="78"/>
        <v>-0.7</v>
      </c>
      <c r="H199" s="256">
        <f t="shared" si="78"/>
        <v>-0.7</v>
      </c>
      <c r="I199" s="256">
        <f t="shared" si="78"/>
        <v>-1.45</v>
      </c>
      <c r="J199" s="256">
        <f t="shared" ref="J199" si="79">J191</f>
        <v>-1.45</v>
      </c>
      <c r="K199" s="256">
        <f t="shared" si="78"/>
        <v>-1</v>
      </c>
      <c r="L199" s="256">
        <f t="shared" si="78"/>
        <v>-0.5</v>
      </c>
      <c r="M199" s="256">
        <f t="shared" si="78"/>
        <v>-0.3</v>
      </c>
      <c r="N199" s="256">
        <f t="shared" si="78"/>
        <v>-0.3</v>
      </c>
      <c r="O199" s="256">
        <f t="shared" si="78"/>
        <v>-0.309</v>
      </c>
      <c r="P199" s="256">
        <f t="shared" si="78"/>
        <v>-0.309</v>
      </c>
      <c r="Q199" s="256">
        <f t="shared" si="78"/>
        <v>-0.31827</v>
      </c>
      <c r="R199" s="256">
        <f t="shared" si="78"/>
        <v>-0.31827</v>
      </c>
      <c r="S199" s="256">
        <f t="shared" si="78"/>
        <v>-0.3278181</v>
      </c>
      <c r="T199" s="256">
        <f t="shared" si="78"/>
        <v>-0.3278181</v>
      </c>
      <c r="U199" s="256">
        <f t="shared" si="78"/>
        <v>-0.33765264300000003</v>
      </c>
      <c r="V199" s="256">
        <f t="shared" si="78"/>
        <v>-0.33765264300000003</v>
      </c>
      <c r="W199" s="256">
        <f t="shared" si="78"/>
        <v>-0.34778222229000005</v>
      </c>
      <c r="X199" s="256">
        <f t="shared" si="78"/>
        <v>-0.34778222229000005</v>
      </c>
      <c r="Y199" s="256">
        <f t="shared" si="78"/>
        <v>-0.35821568895870004</v>
      </c>
      <c r="Z199" s="256">
        <f t="shared" si="78"/>
        <v>-0.35821568895870004</v>
      </c>
      <c r="AA199" s="256">
        <f t="shared" si="78"/>
        <v>-0.36896215962746104</v>
      </c>
      <c r="AB199" s="256">
        <f t="shared" si="78"/>
        <v>-0.36896215962746104</v>
      </c>
      <c r="AC199" s="256">
        <f t="shared" si="78"/>
        <v>-0.38003102441628489</v>
      </c>
      <c r="AD199" s="256">
        <f t="shared" si="78"/>
        <v>-0.38003102441628489</v>
      </c>
      <c r="AE199" s="256">
        <f t="shared" si="78"/>
        <v>-0.39143195514877344</v>
      </c>
      <c r="AF199" s="256">
        <f t="shared" si="78"/>
        <v>-0.39143195514877344</v>
      </c>
      <c r="AG199" s="256">
        <f t="shared" si="78"/>
        <v>-0.40317491380323667</v>
      </c>
      <c r="AH199" s="256">
        <f t="shared" si="78"/>
        <v>-0.40317491380323667</v>
      </c>
      <c r="AI199" s="256">
        <f t="shared" si="78"/>
        <v>-0.41527016121733379</v>
      </c>
      <c r="AJ199" s="256">
        <f t="shared" si="78"/>
        <v>-0.41527016121733379</v>
      </c>
      <c r="AK199" s="256">
        <f t="shared" si="78"/>
        <v>-0.42772826605385383</v>
      </c>
      <c r="AL199" s="256">
        <f t="shared" si="78"/>
        <v>-0.42772826605385383</v>
      </c>
    </row>
    <row r="200" spans="2:38" x14ac:dyDescent="0.2">
      <c r="B200" s="226" t="s">
        <v>112</v>
      </c>
      <c r="C200" s="230" t="s">
        <v>37</v>
      </c>
      <c r="E200" s="256">
        <f t="shared" ref="E200:AL200" si="80">E194</f>
        <v>0</v>
      </c>
      <c r="F200" s="256">
        <f t="shared" si="80"/>
        <v>0</v>
      </c>
      <c r="G200" s="256">
        <f t="shared" si="80"/>
        <v>0</v>
      </c>
      <c r="H200" s="256">
        <f t="shared" si="80"/>
        <v>0</v>
      </c>
      <c r="I200" s="256">
        <f t="shared" si="80"/>
        <v>-2</v>
      </c>
      <c r="J200" s="256">
        <f t="shared" ref="J200" si="81">J194</f>
        <v>-3.1496000000000004</v>
      </c>
      <c r="K200" s="256">
        <f t="shared" si="80"/>
        <v>-3.5521199999999999</v>
      </c>
      <c r="L200" s="256">
        <f t="shared" si="80"/>
        <v>-3.3385760000000007</v>
      </c>
      <c r="M200" s="256">
        <f t="shared" si="80"/>
        <v>-3.7297260000000003</v>
      </c>
      <c r="N200" s="256">
        <f t="shared" si="80"/>
        <v>-3.5055048000000006</v>
      </c>
      <c r="O200" s="256">
        <f t="shared" si="80"/>
        <v>-3.9162123000000002</v>
      </c>
      <c r="P200" s="256">
        <f t="shared" si="80"/>
        <v>-3.680780040000001</v>
      </c>
      <c r="Q200" s="256">
        <f t="shared" si="80"/>
        <v>-4.1120229150000007</v>
      </c>
      <c r="R200" s="256">
        <f t="shared" si="80"/>
        <v>-3.8648190420000015</v>
      </c>
      <c r="S200" s="256">
        <f t="shared" si="80"/>
        <v>-4.31762406075</v>
      </c>
      <c r="T200" s="256">
        <f t="shared" si="80"/>
        <v>-4.0580599941000015</v>
      </c>
      <c r="U200" s="256">
        <f t="shared" si="80"/>
        <v>-4.5335052637875011</v>
      </c>
      <c r="V200" s="256">
        <f t="shared" si="80"/>
        <v>-4.260962993805002</v>
      </c>
      <c r="W200" s="256">
        <f t="shared" si="80"/>
        <v>-4.7601805269768755</v>
      </c>
      <c r="X200" s="256">
        <f t="shared" si="80"/>
        <v>-4.4740111434952521</v>
      </c>
      <c r="Y200" s="256">
        <f t="shared" si="80"/>
        <v>-4.9981895533257195</v>
      </c>
      <c r="Z200" s="256">
        <f t="shared" si="80"/>
        <v>-4.6977117006700153</v>
      </c>
      <c r="AA200" s="256">
        <f t="shared" si="80"/>
        <v>-5.2480990309920053</v>
      </c>
      <c r="AB200" s="256">
        <f t="shared" si="80"/>
        <v>-4.9325972857035172</v>
      </c>
      <c r="AC200" s="256">
        <f t="shared" si="80"/>
        <v>-5.5105039825416062</v>
      </c>
      <c r="AD200" s="256">
        <f t="shared" si="80"/>
        <v>-5.1792271499886926</v>
      </c>
      <c r="AE200" s="256">
        <f t="shared" si="80"/>
        <v>-5.7860291816686873</v>
      </c>
      <c r="AF200" s="256">
        <f t="shared" si="80"/>
        <v>-5.4381885074881273</v>
      </c>
      <c r="AG200" s="256">
        <f t="shared" si="80"/>
        <v>-6.0753306407521217</v>
      </c>
      <c r="AH200" s="256">
        <f t="shared" si="80"/>
        <v>-5.710097932862535</v>
      </c>
      <c r="AI200" s="256">
        <f t="shared" si="80"/>
        <v>-6.3790971727897281</v>
      </c>
      <c r="AJ200" s="256">
        <f t="shared" si="80"/>
        <v>-5.9956028295056614</v>
      </c>
      <c r="AK200" s="256">
        <f t="shared" si="80"/>
        <v>-6.6980520314292145</v>
      </c>
      <c r="AL200" s="256">
        <f t="shared" si="80"/>
        <v>-6.2953829709809446</v>
      </c>
    </row>
    <row r="201" spans="2:38" x14ac:dyDescent="0.2">
      <c r="B201" s="226" t="s">
        <v>101</v>
      </c>
      <c r="C201" s="230" t="s">
        <v>37</v>
      </c>
      <c r="E201" s="256">
        <f>E203-SUM(E197:E198)</f>
        <v>0.22879999999999967</v>
      </c>
      <c r="F201" s="256">
        <f>F203-SUM(F197:F198)</f>
        <v>-0.738900000000001</v>
      </c>
      <c r="G201" s="256">
        <f>G203-SUM(G197:G198)</f>
        <v>-5.3248999999999995</v>
      </c>
      <c r="H201" s="256">
        <f>H203-SUM(H197:H200)</f>
        <v>-5.030699999999996</v>
      </c>
      <c r="I201" s="256">
        <f>I203-SUM(I197:I200)</f>
        <v>-5.9206999999999965</v>
      </c>
      <c r="J201" s="256">
        <f>J203-SUM(J197:J200)</f>
        <v>-2.6589999999999989</v>
      </c>
      <c r="K201" s="398">
        <f t="shared" ref="K201:AL201" si="82">K64*K207</f>
        <v>-5.772195</v>
      </c>
      <c r="L201" s="398">
        <f t="shared" si="82"/>
        <v>-5.1747928000000005</v>
      </c>
      <c r="M201" s="398">
        <f t="shared" si="82"/>
        <v>-5.7810753000000004</v>
      </c>
      <c r="N201" s="398">
        <f t="shared" si="82"/>
        <v>-5.4335324400000005</v>
      </c>
      <c r="O201" s="398">
        <f t="shared" si="82"/>
        <v>-6.0701290649999997</v>
      </c>
      <c r="P201" s="398">
        <f t="shared" si="82"/>
        <v>-5.7052090620000016</v>
      </c>
      <c r="Q201" s="398">
        <f t="shared" si="82"/>
        <v>-6.3736355182500004</v>
      </c>
      <c r="R201" s="398">
        <f t="shared" si="82"/>
        <v>-5.9904695151000018</v>
      </c>
      <c r="S201" s="398">
        <f t="shared" si="82"/>
        <v>-6.6923172941625007</v>
      </c>
      <c r="T201" s="398">
        <f t="shared" si="82"/>
        <v>-6.2899929908550023</v>
      </c>
      <c r="U201" s="398">
        <f t="shared" si="82"/>
        <v>-7.0269331588706256</v>
      </c>
      <c r="V201" s="398">
        <f t="shared" si="82"/>
        <v>-6.6044926403977531</v>
      </c>
      <c r="W201" s="398">
        <f t="shared" si="82"/>
        <v>-7.3782798168141568</v>
      </c>
      <c r="X201" s="398">
        <f t="shared" si="82"/>
        <v>-6.9347172724176405</v>
      </c>
      <c r="Y201" s="398">
        <f t="shared" si="82"/>
        <v>-7.747193807654865</v>
      </c>
      <c r="Z201" s="398">
        <f t="shared" si="82"/>
        <v>-7.2814531360385235</v>
      </c>
      <c r="AA201" s="398">
        <f t="shared" si="82"/>
        <v>-8.134553498037608</v>
      </c>
      <c r="AB201" s="398">
        <f t="shared" si="82"/>
        <v>-7.6455257928404503</v>
      </c>
      <c r="AC201" s="398">
        <f t="shared" si="82"/>
        <v>-8.54128117293949</v>
      </c>
      <c r="AD201" s="398">
        <f t="shared" si="82"/>
        <v>-8.0278020824824736</v>
      </c>
      <c r="AE201" s="398">
        <f t="shared" si="82"/>
        <v>-8.9683452315864649</v>
      </c>
      <c r="AF201" s="398">
        <f t="shared" si="82"/>
        <v>-8.4291921866065973</v>
      </c>
      <c r="AG201" s="398">
        <f t="shared" si="82"/>
        <v>-9.4167624931657876</v>
      </c>
      <c r="AH201" s="398">
        <f t="shared" si="82"/>
        <v>-8.850651795936928</v>
      </c>
      <c r="AI201" s="398">
        <f t="shared" si="82"/>
        <v>-9.8876006178240772</v>
      </c>
      <c r="AJ201" s="398">
        <f t="shared" si="82"/>
        <v>-9.2931843857337739</v>
      </c>
      <c r="AK201" s="398">
        <f t="shared" si="82"/>
        <v>-10.381980648715281</v>
      </c>
      <c r="AL201" s="398">
        <f t="shared" si="82"/>
        <v>-9.7578436050204633</v>
      </c>
    </row>
    <row r="202" spans="2:38" x14ac:dyDescent="0.2">
      <c r="B202" s="251" t="s">
        <v>67</v>
      </c>
      <c r="C202" s="252" t="s">
        <v>67</v>
      </c>
      <c r="D202" s="253"/>
      <c r="E202" s="254" t="s">
        <v>67</v>
      </c>
      <c r="F202" s="254" t="s">
        <v>67</v>
      </c>
      <c r="G202" s="254" t="s">
        <v>67</v>
      </c>
      <c r="H202" s="254" t="s">
        <v>67</v>
      </c>
      <c r="I202" s="254" t="s">
        <v>67</v>
      </c>
      <c r="J202" s="254" t="s">
        <v>67</v>
      </c>
      <c r="K202" s="254" t="s">
        <v>67</v>
      </c>
      <c r="L202" s="254" t="s">
        <v>67</v>
      </c>
      <c r="M202" s="254" t="s">
        <v>67</v>
      </c>
      <c r="N202" s="254" t="s">
        <v>67</v>
      </c>
      <c r="O202" s="254" t="s">
        <v>67</v>
      </c>
      <c r="P202" s="254" t="s">
        <v>67</v>
      </c>
      <c r="Q202" s="254" t="s">
        <v>67</v>
      </c>
      <c r="R202" s="254" t="s">
        <v>67</v>
      </c>
      <c r="S202" s="254" t="s">
        <v>67</v>
      </c>
      <c r="T202" s="254" t="s">
        <v>67</v>
      </c>
      <c r="U202" s="254" t="s">
        <v>67</v>
      </c>
      <c r="V202" s="254" t="s">
        <v>67</v>
      </c>
      <c r="W202" s="254" t="s">
        <v>67</v>
      </c>
      <c r="X202" s="254" t="s">
        <v>67</v>
      </c>
      <c r="Y202" s="254" t="s">
        <v>67</v>
      </c>
      <c r="Z202" s="254" t="s">
        <v>67</v>
      </c>
      <c r="AA202" s="254" t="s">
        <v>67</v>
      </c>
      <c r="AB202" s="254" t="s">
        <v>67</v>
      </c>
      <c r="AC202" s="254" t="s">
        <v>67</v>
      </c>
      <c r="AD202" s="254" t="s">
        <v>67</v>
      </c>
      <c r="AE202" s="254" t="s">
        <v>67</v>
      </c>
      <c r="AF202" s="254" t="s">
        <v>67</v>
      </c>
      <c r="AG202" s="254" t="s">
        <v>67</v>
      </c>
      <c r="AH202" s="254" t="s">
        <v>67</v>
      </c>
      <c r="AI202" s="254" t="s">
        <v>67</v>
      </c>
      <c r="AJ202" s="254" t="s">
        <v>67</v>
      </c>
      <c r="AK202" s="254" t="s">
        <v>67</v>
      </c>
      <c r="AL202" s="254" t="s">
        <v>67</v>
      </c>
    </row>
    <row r="203" spans="2:38" s="237" customFormat="1" x14ac:dyDescent="0.2">
      <c r="B203" s="239" t="s">
        <v>71</v>
      </c>
      <c r="C203" s="468" t="s">
        <v>37</v>
      </c>
      <c r="E203" s="257">
        <v>-12.8</v>
      </c>
      <c r="F203" s="257">
        <f>-26.8-E203</f>
        <v>-14</v>
      </c>
      <c r="G203" s="257">
        <v>-33.700000000000003</v>
      </c>
      <c r="H203" s="257">
        <f>-73.4-G203</f>
        <v>-39.700000000000003</v>
      </c>
      <c r="I203" s="257">
        <v>-43</v>
      </c>
      <c r="J203" s="257">
        <f>-84.9-I203</f>
        <v>-41.900000000000006</v>
      </c>
      <c r="K203" s="229">
        <f t="shared" ref="K203:AL203" si="83">SUM(K197:K201)</f>
        <v>-49.291071400000007</v>
      </c>
      <c r="L203" s="229">
        <f t="shared" si="83"/>
        <v>-46.555655920000014</v>
      </c>
      <c r="M203" s="229">
        <f t="shared" si="83"/>
        <v>-50.725895519999995</v>
      </c>
      <c r="N203" s="229">
        <f t="shared" si="83"/>
        <v>-48.658438716000013</v>
      </c>
      <c r="O203" s="229">
        <f t="shared" si="83"/>
        <v>-53.256190296</v>
      </c>
      <c r="P203" s="229">
        <f t="shared" si="83"/>
        <v>-51.085360651800016</v>
      </c>
      <c r="Q203" s="229">
        <f t="shared" si="83"/>
        <v>-55.912819810800002</v>
      </c>
      <c r="R203" s="229">
        <f t="shared" si="83"/>
        <v>-53.633448684390018</v>
      </c>
      <c r="S203" s="229">
        <f t="shared" si="83"/>
        <v>-58.702095401340003</v>
      </c>
      <c r="T203" s="229">
        <f t="shared" si="83"/>
        <v>-56.308755718609525</v>
      </c>
      <c r="U203" s="229">
        <f t="shared" si="83"/>
        <v>-61.630643809407012</v>
      </c>
      <c r="V203" s="229">
        <f t="shared" si="83"/>
        <v>-59.117637142540012</v>
      </c>
      <c r="W203" s="229">
        <f t="shared" si="83"/>
        <v>-64.705422947017354</v>
      </c>
      <c r="X203" s="229">
        <f t="shared" si="83"/>
        <v>-62.066765946807017</v>
      </c>
      <c r="Y203" s="229">
        <f t="shared" si="83"/>
        <v>-67.93373844992243</v>
      </c>
      <c r="Z203" s="229">
        <f t="shared" si="83"/>
        <v>-65.163148599701572</v>
      </c>
      <c r="AA203" s="229">
        <f t="shared" si="83"/>
        <v>-71.32326105863936</v>
      </c>
      <c r="AB203" s="229">
        <f t="shared" si="83"/>
        <v>-68.414141715907476</v>
      </c>
      <c r="AC203" s="229">
        <f t="shared" si="83"/>
        <v>-74.882044868378799</v>
      </c>
      <c r="AD203" s="229">
        <f t="shared" si="83"/>
        <v>-71.827469558510302</v>
      </c>
      <c r="AE203" s="229">
        <f t="shared" si="83"/>
        <v>-78.618546491309417</v>
      </c>
      <c r="AF203" s="229">
        <f t="shared" si="83"/>
        <v>-75.411242415947498</v>
      </c>
      <c r="AG203" s="229">
        <f t="shared" si="83"/>
        <v>-82.541645176771937</v>
      </c>
      <c r="AH203" s="229">
        <f t="shared" si="83"/>
        <v>-79.173975897641924</v>
      </c>
      <c r="AI203" s="229">
        <f t="shared" si="83"/>
        <v>-86.660663937334462</v>
      </c>
      <c r="AJ203" s="229">
        <f t="shared" si="83"/>
        <v>-83.124611194247933</v>
      </c>
      <c r="AK203" s="229">
        <f t="shared" si="83"/>
        <v>-90.985391730976829</v>
      </c>
      <c r="AL203" s="229">
        <f t="shared" si="83"/>
        <v>-87.27253635073599</v>
      </c>
    </row>
    <row r="204" spans="2:38" s="595" customFormat="1" x14ac:dyDescent="0.2">
      <c r="B204" s="593" t="s">
        <v>45</v>
      </c>
      <c r="C204" s="594" t="s">
        <v>37</v>
      </c>
      <c r="E204" s="259">
        <f>SUMIFS(QTR!$E55:$CB55,QTR!$E$9:$CB$9,E$13)</f>
        <v>0</v>
      </c>
      <c r="F204" s="259">
        <f>SUMIFS(QTR!$E55:$CB55,QTR!$E$9:$CB$9,F$13)</f>
        <v>0</v>
      </c>
      <c r="G204" s="259">
        <f>SUMIFS(QTR!$E55:$CB55,QTR!$E$9:$CB$9,G$13)</f>
        <v>-30.356299999999997</v>
      </c>
      <c r="H204" s="259">
        <f>SUMIFS(QTR!$E55:$CB55,QTR!$E$9:$CB$9,H$13)</f>
        <v>-39.608599999999996</v>
      </c>
      <c r="I204" s="259">
        <f>SUMIFS(QTR!$E55:$CB55,QTR!$E$9:$CB$9,I$13)</f>
        <v>-38.426699999999997</v>
      </c>
      <c r="J204" s="259">
        <f>SUMIFS(QTR!$E55:$CB55,QTR!$E$9:$CB$9,J$13)</f>
        <v>-44.528700000000001</v>
      </c>
      <c r="K204" s="259"/>
      <c r="L204" s="259"/>
      <c r="M204" s="259"/>
      <c r="N204" s="259"/>
      <c r="O204" s="259"/>
      <c r="P204" s="259"/>
      <c r="Q204" s="259"/>
      <c r="R204" s="259"/>
      <c r="S204" s="259"/>
      <c r="T204" s="259"/>
      <c r="U204" s="259"/>
      <c r="V204" s="259"/>
      <c r="W204" s="259"/>
      <c r="X204" s="259"/>
      <c r="Y204" s="259"/>
      <c r="Z204" s="259"/>
      <c r="AA204" s="259"/>
      <c r="AB204" s="259"/>
      <c r="AC204" s="259"/>
      <c r="AD204" s="259"/>
      <c r="AE204" s="259"/>
      <c r="AF204" s="259"/>
      <c r="AG204" s="259"/>
      <c r="AH204" s="259"/>
      <c r="AI204" s="259"/>
      <c r="AJ204" s="259"/>
      <c r="AK204" s="259"/>
      <c r="AL204" s="259"/>
    </row>
    <row r="205" spans="2:38" x14ac:dyDescent="0.2">
      <c r="B205" s="239"/>
      <c r="C205" s="230"/>
      <c r="E205" s="231"/>
      <c r="F205" s="231"/>
      <c r="G205" s="231"/>
      <c r="H205" s="231"/>
      <c r="I205" s="231"/>
      <c r="J205" s="232">
        <f>J203-J204</f>
        <v>2.6286999999999949</v>
      </c>
      <c r="K205" s="232"/>
      <c r="L205" s="232"/>
      <c r="M205" s="232"/>
      <c r="N205" s="232"/>
      <c r="O205" s="232"/>
      <c r="P205" s="232"/>
      <c r="Q205" s="232"/>
      <c r="R205" s="232"/>
      <c r="S205" s="232"/>
      <c r="T205" s="232"/>
      <c r="U205" s="232"/>
      <c r="V205" s="232"/>
      <c r="W205" s="232"/>
      <c r="X205" s="232"/>
      <c r="Y205" s="232"/>
      <c r="Z205" s="232"/>
      <c r="AA205" s="232"/>
      <c r="AB205" s="232"/>
      <c r="AC205" s="232"/>
      <c r="AD205" s="232"/>
      <c r="AE205" s="232"/>
      <c r="AF205" s="232"/>
      <c r="AG205" s="232"/>
      <c r="AH205" s="232"/>
      <c r="AI205" s="232"/>
      <c r="AJ205" s="232"/>
      <c r="AK205" s="232"/>
      <c r="AL205" s="232"/>
    </row>
    <row r="206" spans="2:38" x14ac:dyDescent="0.2">
      <c r="B206" s="239"/>
      <c r="C206" s="230"/>
      <c r="E206" s="231"/>
      <c r="F206" s="231"/>
      <c r="G206" s="231"/>
      <c r="H206" s="231"/>
      <c r="I206" s="231"/>
      <c r="J206" s="232"/>
      <c r="K206" s="232"/>
      <c r="L206" s="232"/>
      <c r="M206" s="232"/>
      <c r="N206" s="232"/>
      <c r="O206" s="232"/>
      <c r="P206" s="232"/>
      <c r="Q206" s="232"/>
      <c r="R206" s="232"/>
      <c r="S206" s="232"/>
      <c r="T206" s="232"/>
      <c r="U206" s="232"/>
      <c r="V206" s="232"/>
      <c r="W206" s="232"/>
      <c r="X206" s="232"/>
      <c r="Y206" s="232"/>
      <c r="Z206" s="232"/>
      <c r="AA206" s="232"/>
      <c r="AB206" s="232"/>
      <c r="AC206" s="232"/>
      <c r="AD206" s="232"/>
      <c r="AE206" s="232"/>
      <c r="AF206" s="232"/>
      <c r="AG206" s="232"/>
      <c r="AH206" s="232"/>
      <c r="AI206" s="232"/>
      <c r="AJ206" s="232"/>
      <c r="AK206" s="232"/>
      <c r="AL206" s="232"/>
    </row>
    <row r="207" spans="2:38" x14ac:dyDescent="0.2">
      <c r="B207" s="226" t="s">
        <v>116</v>
      </c>
      <c r="C207" s="230" t="s">
        <v>39</v>
      </c>
      <c r="E207" s="292">
        <f t="shared" ref="E207:J207" si="84">E201/E64</f>
        <v>7.6572958500669233E-4</v>
      </c>
      <c r="F207" s="292">
        <f t="shared" si="84"/>
        <v>-2.5209825997952956E-3</v>
      </c>
      <c r="G207" s="292">
        <f t="shared" si="84"/>
        <v>-8.254379166020771E-3</v>
      </c>
      <c r="H207" s="292">
        <f t="shared" si="84"/>
        <v>-6.4887140461756679E-3</v>
      </c>
      <c r="I207" s="292">
        <f t="shared" si="84"/>
        <v>-7.3339526817787649E-3</v>
      </c>
      <c r="J207" s="292">
        <f t="shared" si="84"/>
        <v>-3.3769367538735058E-3</v>
      </c>
      <c r="K207" s="408">
        <v>-6.4999999999999997E-3</v>
      </c>
      <c r="L207" s="408">
        <v>-6.1999999999999998E-3</v>
      </c>
      <c r="M207" s="408">
        <v>-6.1999999999999998E-3</v>
      </c>
      <c r="N207" s="282">
        <f t="shared" ref="N207:AL207" si="85">M207</f>
        <v>-6.1999999999999998E-3</v>
      </c>
      <c r="O207" s="282">
        <f t="shared" si="85"/>
        <v>-6.1999999999999998E-3</v>
      </c>
      <c r="P207" s="282">
        <f t="shared" si="85"/>
        <v>-6.1999999999999998E-3</v>
      </c>
      <c r="Q207" s="282">
        <f t="shared" si="85"/>
        <v>-6.1999999999999998E-3</v>
      </c>
      <c r="R207" s="282">
        <f t="shared" si="85"/>
        <v>-6.1999999999999998E-3</v>
      </c>
      <c r="S207" s="282">
        <f t="shared" si="85"/>
        <v>-6.1999999999999998E-3</v>
      </c>
      <c r="T207" s="282">
        <f t="shared" si="85"/>
        <v>-6.1999999999999998E-3</v>
      </c>
      <c r="U207" s="282">
        <f t="shared" si="85"/>
        <v>-6.1999999999999998E-3</v>
      </c>
      <c r="V207" s="282">
        <f t="shared" si="85"/>
        <v>-6.1999999999999998E-3</v>
      </c>
      <c r="W207" s="282">
        <f t="shared" si="85"/>
        <v>-6.1999999999999998E-3</v>
      </c>
      <c r="X207" s="282">
        <f t="shared" si="85"/>
        <v>-6.1999999999999998E-3</v>
      </c>
      <c r="Y207" s="282">
        <f t="shared" si="85"/>
        <v>-6.1999999999999998E-3</v>
      </c>
      <c r="Z207" s="282">
        <f t="shared" si="85"/>
        <v>-6.1999999999999998E-3</v>
      </c>
      <c r="AA207" s="282">
        <f t="shared" si="85"/>
        <v>-6.1999999999999998E-3</v>
      </c>
      <c r="AB207" s="282">
        <f t="shared" si="85"/>
        <v>-6.1999999999999998E-3</v>
      </c>
      <c r="AC207" s="282">
        <f t="shared" si="85"/>
        <v>-6.1999999999999998E-3</v>
      </c>
      <c r="AD207" s="282">
        <f t="shared" si="85"/>
        <v>-6.1999999999999998E-3</v>
      </c>
      <c r="AE207" s="282">
        <f t="shared" si="85"/>
        <v>-6.1999999999999998E-3</v>
      </c>
      <c r="AF207" s="282">
        <f t="shared" si="85"/>
        <v>-6.1999999999999998E-3</v>
      </c>
      <c r="AG207" s="282">
        <f t="shared" si="85"/>
        <v>-6.1999999999999998E-3</v>
      </c>
      <c r="AH207" s="282">
        <f t="shared" si="85"/>
        <v>-6.1999999999999998E-3</v>
      </c>
      <c r="AI207" s="282">
        <f t="shared" si="85"/>
        <v>-6.1999999999999998E-3</v>
      </c>
      <c r="AJ207" s="282">
        <f t="shared" si="85"/>
        <v>-6.1999999999999998E-3</v>
      </c>
      <c r="AK207" s="282">
        <f t="shared" si="85"/>
        <v>-6.1999999999999998E-3</v>
      </c>
      <c r="AL207" s="282">
        <f t="shared" si="85"/>
        <v>-6.1999999999999998E-3</v>
      </c>
    </row>
    <row r="208" spans="2:38" x14ac:dyDescent="0.2">
      <c r="B208" s="226" t="s">
        <v>117</v>
      </c>
      <c r="C208" s="230" t="s">
        <v>39</v>
      </c>
      <c r="E208" s="292">
        <f t="shared" ref="E208:AL208" si="86">E201/E75</f>
        <v>7.4527687296416832E-3</v>
      </c>
      <c r="F208" s="292">
        <f t="shared" si="86"/>
        <v>-2.2876160990712106E-2</v>
      </c>
      <c r="G208" s="292">
        <f t="shared" si="86"/>
        <v>-7.900445103857566E-2</v>
      </c>
      <c r="H208" s="292">
        <f t="shared" si="86"/>
        <v>-6.2570895522388009E-2</v>
      </c>
      <c r="I208" s="292">
        <f t="shared" si="86"/>
        <v>-7.8109498680738743E-2</v>
      </c>
      <c r="J208" s="292">
        <f t="shared" si="86"/>
        <v>-3.2308626974483584E-2</v>
      </c>
      <c r="K208" s="300">
        <f t="shared" si="86"/>
        <v>-6.25E-2</v>
      </c>
      <c r="L208" s="300">
        <f t="shared" si="86"/>
        <v>-5.6880733944954118E-2</v>
      </c>
      <c r="M208" s="300">
        <f t="shared" si="86"/>
        <v>-5.9615384615384626E-2</v>
      </c>
      <c r="N208" s="300">
        <f t="shared" si="86"/>
        <v>-5.6880733944954118E-2</v>
      </c>
      <c r="O208" s="300">
        <f t="shared" si="86"/>
        <v>-5.9615384615384619E-2</v>
      </c>
      <c r="P208" s="300">
        <f t="shared" si="86"/>
        <v>-5.6880733944954125E-2</v>
      </c>
      <c r="Q208" s="300">
        <f t="shared" si="86"/>
        <v>-5.9615384615384612E-2</v>
      </c>
      <c r="R208" s="300">
        <f t="shared" si="86"/>
        <v>-5.6880733944954125E-2</v>
      </c>
      <c r="S208" s="300">
        <f t="shared" si="86"/>
        <v>-5.9615384615384626E-2</v>
      </c>
      <c r="T208" s="300">
        <f t="shared" si="86"/>
        <v>-5.6880733944954125E-2</v>
      </c>
      <c r="U208" s="300">
        <f t="shared" si="86"/>
        <v>-5.9615384615384612E-2</v>
      </c>
      <c r="V208" s="300">
        <f t="shared" si="86"/>
        <v>-5.6880733944954111E-2</v>
      </c>
      <c r="W208" s="300">
        <f t="shared" si="86"/>
        <v>-5.9615384615384626E-2</v>
      </c>
      <c r="X208" s="300">
        <f t="shared" si="86"/>
        <v>-5.6880733944954111E-2</v>
      </c>
      <c r="Y208" s="300">
        <f t="shared" si="86"/>
        <v>-5.9615384615384633E-2</v>
      </c>
      <c r="Z208" s="300">
        <f t="shared" si="86"/>
        <v>-5.6880733944954118E-2</v>
      </c>
      <c r="AA208" s="300">
        <f t="shared" si="86"/>
        <v>-5.9615384615384626E-2</v>
      </c>
      <c r="AB208" s="300">
        <f t="shared" si="86"/>
        <v>-5.6880733944954125E-2</v>
      </c>
      <c r="AC208" s="300">
        <f t="shared" si="86"/>
        <v>-5.9615384615384619E-2</v>
      </c>
      <c r="AD208" s="300">
        <f t="shared" si="86"/>
        <v>-5.6880733944954125E-2</v>
      </c>
      <c r="AE208" s="300">
        <f t="shared" si="86"/>
        <v>-5.9615384615384619E-2</v>
      </c>
      <c r="AF208" s="300">
        <f t="shared" si="86"/>
        <v>-5.6880733944954125E-2</v>
      </c>
      <c r="AG208" s="300">
        <f t="shared" si="86"/>
        <v>-5.9615384615384612E-2</v>
      </c>
      <c r="AH208" s="300">
        <f t="shared" si="86"/>
        <v>-5.6880733944954111E-2</v>
      </c>
      <c r="AI208" s="300">
        <f t="shared" si="86"/>
        <v>-5.9615384615384619E-2</v>
      </c>
      <c r="AJ208" s="300">
        <f t="shared" si="86"/>
        <v>-5.6880733944954118E-2</v>
      </c>
      <c r="AK208" s="300">
        <f t="shared" si="86"/>
        <v>-5.9615384615384619E-2</v>
      </c>
      <c r="AL208" s="300">
        <f t="shared" si="86"/>
        <v>-5.6880733944954118E-2</v>
      </c>
    </row>
    <row r="209" spans="1:38" x14ac:dyDescent="0.2">
      <c r="B209" s="226"/>
      <c r="C209" s="230"/>
      <c r="K209" s="232"/>
      <c r="L209" s="232"/>
      <c r="M209" s="232"/>
      <c r="N209" s="232"/>
      <c r="O209" s="232"/>
      <c r="P209" s="232"/>
      <c r="Q209" s="232"/>
      <c r="R209" s="232"/>
      <c r="S209" s="232"/>
      <c r="T209" s="232"/>
      <c r="U209" s="232"/>
      <c r="V209" s="232"/>
      <c r="W209" s="232"/>
      <c r="X209" s="232"/>
      <c r="Y209" s="232"/>
      <c r="Z209" s="232"/>
      <c r="AA209" s="232"/>
      <c r="AB209" s="232"/>
      <c r="AC209" s="232"/>
      <c r="AD209" s="232"/>
      <c r="AE209" s="232"/>
      <c r="AF209" s="232"/>
      <c r="AG209" s="232"/>
      <c r="AH209" s="232"/>
      <c r="AI209" s="232"/>
      <c r="AJ209" s="232"/>
      <c r="AK209" s="232"/>
      <c r="AL209" s="232"/>
    </row>
    <row r="210" spans="1:38" x14ac:dyDescent="0.2">
      <c r="B210" s="226" t="s">
        <v>118</v>
      </c>
      <c r="C210" s="230" t="s">
        <v>39</v>
      </c>
      <c r="E210" s="300">
        <f t="shared" ref="E210:AL210" si="87">E203/E75</f>
        <v>-0.41693811074918569</v>
      </c>
      <c r="F210" s="300">
        <f t="shared" si="87"/>
        <v>-0.43343653250774</v>
      </c>
      <c r="G210" s="300">
        <f t="shared" si="87"/>
        <v>-0.5</v>
      </c>
      <c r="H210" s="300">
        <f t="shared" si="87"/>
        <v>-0.49378109452736318</v>
      </c>
      <c r="I210" s="300">
        <f t="shared" si="87"/>
        <v>-0.56728232189973615</v>
      </c>
      <c r="J210" s="300">
        <f t="shared" si="87"/>
        <v>-0.50911300121506686</v>
      </c>
      <c r="K210" s="300">
        <f t="shared" si="87"/>
        <v>-0.53371238540970989</v>
      </c>
      <c r="L210" s="300">
        <f t="shared" si="87"/>
        <v>-0.5117344752466898</v>
      </c>
      <c r="M210" s="300">
        <f t="shared" si="87"/>
        <v>-0.52309364857859841</v>
      </c>
      <c r="N210" s="300">
        <f t="shared" si="87"/>
        <v>-0.50937907104529057</v>
      </c>
      <c r="O210" s="300">
        <f t="shared" si="87"/>
        <v>-0.52303472193900613</v>
      </c>
      <c r="P210" s="300">
        <f t="shared" si="87"/>
        <v>-0.50931925125604871</v>
      </c>
      <c r="Q210" s="300">
        <f t="shared" si="87"/>
        <v>-0.52297691771159638</v>
      </c>
      <c r="R210" s="300">
        <f t="shared" si="87"/>
        <v>-0.50926057089136378</v>
      </c>
      <c r="S210" s="300">
        <f t="shared" si="87"/>
        <v>-0.52292021451708992</v>
      </c>
      <c r="T210" s="300">
        <f t="shared" si="87"/>
        <v>-0.50920300824791109</v>
      </c>
      <c r="U210" s="300">
        <f t="shared" si="87"/>
        <v>-0.522864591383431</v>
      </c>
      <c r="V210" s="300">
        <f t="shared" si="87"/>
        <v>-0.50914654203576204</v>
      </c>
      <c r="W210" s="300">
        <f t="shared" si="87"/>
        <v>-0.52281002773803231</v>
      </c>
      <c r="X210" s="300">
        <f t="shared" si="87"/>
        <v>-0.5090911513705112</v>
      </c>
      <c r="Y210" s="300">
        <f t="shared" si="87"/>
        <v>-0.52275650340016522</v>
      </c>
      <c r="Z210" s="300">
        <f t="shared" si="87"/>
        <v>-0.50903681576555093</v>
      </c>
      <c r="AA210" s="300">
        <f t="shared" si="87"/>
        <v>-0.52270399857349514</v>
      </c>
      <c r="AB210" s="300">
        <f t="shared" si="87"/>
        <v>-0.50898351512449447</v>
      </c>
      <c r="AC210" s="300">
        <f t="shared" si="87"/>
        <v>-0.522652493838762</v>
      </c>
      <c r="AD210" s="300">
        <f t="shared" si="87"/>
        <v>-0.50893122973374394</v>
      </c>
      <c r="AE210" s="300">
        <f t="shared" si="87"/>
        <v>-0.52260197014659504</v>
      </c>
      <c r="AF210" s="300">
        <f t="shared" si="87"/>
        <v>-0.50887994025519823</v>
      </c>
      <c r="AG210" s="300">
        <f t="shared" si="87"/>
        <v>-0.5225524088104696</v>
      </c>
      <c r="AH210" s="300">
        <f t="shared" si="87"/>
        <v>-0.50882962771910101</v>
      </c>
      <c r="AI210" s="300">
        <f t="shared" si="87"/>
        <v>-0.52250379149979398</v>
      </c>
      <c r="AJ210" s="300">
        <f t="shared" si="87"/>
        <v>-0.50878027351702459</v>
      </c>
      <c r="AK210" s="300">
        <f t="shared" si="87"/>
        <v>-0.52245610023313116</v>
      </c>
      <c r="AL210" s="300">
        <f t="shared" si="87"/>
        <v>-0.50873185939498777</v>
      </c>
    </row>
    <row r="211" spans="1:38" x14ac:dyDescent="0.2">
      <c r="B211" s="226" t="s">
        <v>119</v>
      </c>
      <c r="C211" s="230" t="s">
        <v>39</v>
      </c>
      <c r="E211" s="300">
        <f t="shared" ref="E211:AL211" si="88">E203/E64</f>
        <v>-4.2838018741633198E-2</v>
      </c>
      <c r="F211" s="300">
        <f t="shared" si="88"/>
        <v>-4.7765267826680322E-2</v>
      </c>
      <c r="G211" s="300">
        <f t="shared" si="88"/>
        <v>-5.2239962796465665E-2</v>
      </c>
      <c r="H211" s="300">
        <f t="shared" si="88"/>
        <v>-5.1205984780085124E-2</v>
      </c>
      <c r="I211" s="300">
        <f t="shared" si="88"/>
        <v>-5.3263966307444573E-2</v>
      </c>
      <c r="J211" s="300">
        <f t="shared" si="88"/>
        <v>-5.3213106426212853E-2</v>
      </c>
      <c r="K211" s="300">
        <f t="shared" si="88"/>
        <v>-5.5506088082609831E-2</v>
      </c>
      <c r="L211" s="300">
        <f t="shared" si="88"/>
        <v>-5.5779057801889194E-2</v>
      </c>
      <c r="M211" s="300">
        <f t="shared" si="88"/>
        <v>-5.4401739452174226E-2</v>
      </c>
      <c r="N211" s="300">
        <f t="shared" si="88"/>
        <v>-5.5522318743936684E-2</v>
      </c>
      <c r="O211" s="300">
        <f t="shared" si="88"/>
        <v>-5.4395611081656629E-2</v>
      </c>
      <c r="P211" s="300">
        <f t="shared" si="88"/>
        <v>-5.5515798386909315E-2</v>
      </c>
      <c r="Q211" s="300">
        <f t="shared" si="88"/>
        <v>-5.4389599442006026E-2</v>
      </c>
      <c r="R211" s="300">
        <f t="shared" si="88"/>
        <v>-5.5509402227158659E-2</v>
      </c>
      <c r="S211" s="300">
        <f t="shared" si="88"/>
        <v>-5.4383702309777342E-2</v>
      </c>
      <c r="T211" s="300">
        <f t="shared" si="88"/>
        <v>-5.5503127899022307E-2</v>
      </c>
      <c r="U211" s="300">
        <f t="shared" si="88"/>
        <v>-5.4377917503876827E-2</v>
      </c>
      <c r="V211" s="300">
        <f t="shared" si="88"/>
        <v>-5.5496973081898077E-2</v>
      </c>
      <c r="W211" s="300">
        <f t="shared" si="88"/>
        <v>-5.4372242884755353E-2</v>
      </c>
      <c r="X211" s="300">
        <f t="shared" si="88"/>
        <v>-5.5490935499385739E-2</v>
      </c>
      <c r="Y211" s="300">
        <f t="shared" si="88"/>
        <v>-5.4366676353617166E-2</v>
      </c>
      <c r="Z211" s="300">
        <f t="shared" si="88"/>
        <v>-5.5485012918445049E-2</v>
      </c>
      <c r="AA211" s="300">
        <f t="shared" si="88"/>
        <v>-5.4361215851643489E-2</v>
      </c>
      <c r="AB211" s="300">
        <f t="shared" si="88"/>
        <v>-5.5479203148569904E-2</v>
      </c>
      <c r="AC211" s="300">
        <f t="shared" si="88"/>
        <v>-5.4355859359231241E-2</v>
      </c>
      <c r="AD211" s="300">
        <f t="shared" si="88"/>
        <v>-5.5473504040978096E-2</v>
      </c>
      <c r="AE211" s="300">
        <f t="shared" si="88"/>
        <v>-5.4350604895245881E-2</v>
      </c>
      <c r="AF211" s="300">
        <f t="shared" si="88"/>
        <v>-5.5467913487816614E-2</v>
      </c>
      <c r="AG211" s="300">
        <f t="shared" si="88"/>
        <v>-5.4345450516288835E-2</v>
      </c>
      <c r="AH211" s="300">
        <f t="shared" si="88"/>
        <v>-5.546242942138202E-2</v>
      </c>
      <c r="AI211" s="300">
        <f t="shared" si="88"/>
        <v>-5.4340394315978563E-2</v>
      </c>
      <c r="AJ211" s="300">
        <f t="shared" si="88"/>
        <v>-5.5457049813355683E-2</v>
      </c>
      <c r="AK211" s="300">
        <f t="shared" si="88"/>
        <v>-5.4335434424245634E-2</v>
      </c>
      <c r="AL211" s="300">
        <f t="shared" si="88"/>
        <v>-5.5451772674053677E-2</v>
      </c>
    </row>
    <row r="212" spans="1:38" x14ac:dyDescent="0.2">
      <c r="B212" s="226"/>
      <c r="C212" s="230"/>
      <c r="J212" s="232"/>
      <c r="K212" s="232"/>
      <c r="L212" s="232"/>
      <c r="M212" s="232"/>
      <c r="N212" s="232"/>
      <c r="O212" s="232"/>
      <c r="P212" s="232"/>
      <c r="Q212" s="232"/>
      <c r="R212" s="232"/>
      <c r="S212" s="232"/>
      <c r="T212" s="232"/>
      <c r="U212" s="232"/>
      <c r="V212" s="232"/>
      <c r="W212" s="232"/>
      <c r="X212" s="232"/>
      <c r="Y212" s="232"/>
      <c r="Z212" s="232"/>
      <c r="AA212" s="232"/>
      <c r="AB212" s="232"/>
      <c r="AC212" s="232"/>
      <c r="AD212" s="232"/>
      <c r="AE212" s="232"/>
      <c r="AF212" s="232"/>
      <c r="AG212" s="232"/>
      <c r="AH212" s="232"/>
      <c r="AI212" s="232"/>
      <c r="AJ212" s="232"/>
      <c r="AK212" s="232"/>
      <c r="AL212" s="232"/>
    </row>
    <row r="213" spans="1:38" x14ac:dyDescent="0.2">
      <c r="B213" s="226"/>
      <c r="C213" s="230"/>
      <c r="J213" s="232"/>
      <c r="K213" s="232"/>
      <c r="L213" s="232"/>
      <c r="M213" s="232"/>
      <c r="N213" s="232"/>
      <c r="O213" s="232"/>
      <c r="P213" s="232"/>
      <c r="Q213" s="232"/>
      <c r="R213" s="232"/>
      <c r="S213" s="232"/>
      <c r="T213" s="232"/>
      <c r="U213" s="232"/>
      <c r="V213" s="232"/>
      <c r="W213" s="232"/>
      <c r="X213" s="232"/>
      <c r="Y213" s="232"/>
      <c r="Z213" s="232"/>
      <c r="AA213" s="232"/>
      <c r="AB213" s="232"/>
      <c r="AC213" s="232"/>
      <c r="AD213" s="232"/>
      <c r="AE213" s="232"/>
      <c r="AF213" s="232"/>
      <c r="AG213" s="232"/>
      <c r="AH213" s="232"/>
      <c r="AI213" s="232"/>
      <c r="AJ213" s="232"/>
      <c r="AK213" s="232"/>
      <c r="AL213" s="232"/>
    </row>
    <row r="214" spans="1:38" x14ac:dyDescent="0.2">
      <c r="B214" s="226"/>
      <c r="C214" s="230"/>
      <c r="J214" s="232"/>
      <c r="K214" s="232"/>
      <c r="L214" s="232"/>
      <c r="M214" s="232"/>
      <c r="N214" s="232"/>
      <c r="O214" s="232"/>
      <c r="P214" s="232"/>
      <c r="Q214" s="232"/>
      <c r="R214" s="232"/>
      <c r="S214" s="232"/>
      <c r="T214" s="232"/>
      <c r="U214" s="232"/>
      <c r="V214" s="232"/>
      <c r="W214" s="232"/>
      <c r="X214" s="232"/>
      <c r="Y214" s="232"/>
      <c r="Z214" s="232"/>
      <c r="AA214" s="232"/>
      <c r="AB214" s="232"/>
      <c r="AC214" s="232"/>
      <c r="AD214" s="232"/>
      <c r="AE214" s="232"/>
      <c r="AF214" s="232"/>
      <c r="AG214" s="232"/>
      <c r="AH214" s="232"/>
      <c r="AI214" s="232"/>
      <c r="AJ214" s="232"/>
      <c r="AK214" s="232"/>
      <c r="AL214" s="232"/>
    </row>
    <row r="215" spans="1:38" x14ac:dyDescent="0.2">
      <c r="B215" s="246" t="s">
        <v>120</v>
      </c>
      <c r="J215" s="256"/>
    </row>
    <row r="216" spans="1:38" s="595" customFormat="1" x14ac:dyDescent="0.2">
      <c r="B216" s="593" t="s">
        <v>45</v>
      </c>
      <c r="C216" s="594" t="s">
        <v>37</v>
      </c>
      <c r="E216" s="259">
        <f>SUMIFS(QTR!$E48:$CB48,QTR!$E$9:$CB$9,E$13)</f>
        <v>0</v>
      </c>
      <c r="F216" s="259">
        <f>SUMIFS(QTR!$E48:$CB48,QTR!$E$9:$CB$9,F$13)</f>
        <v>0</v>
      </c>
      <c r="G216" s="259">
        <f>SUMIFS(QTR!$E48:$CB48,QTR!$E$9:$CB$9,G$13)</f>
        <v>-9.9</v>
      </c>
      <c r="H216" s="259">
        <f>SUMIFS(QTR!$E48:$CB48,QTR!$E$9:$CB$9,H$13)</f>
        <v>-9.1</v>
      </c>
      <c r="I216" s="259">
        <f>SUMIFS(QTR!$E48:$CB48,QTR!$E$9:$CB$9,I$13)</f>
        <v>-21.8</v>
      </c>
      <c r="J216" s="259">
        <f>SUMIFS(QTR!$E48:$CB48,QTR!$E$9:$CB$9,J$13)</f>
        <v>-11.756499999999999</v>
      </c>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c r="AH216" s="259"/>
      <c r="AI216" s="259"/>
      <c r="AJ216" s="259"/>
      <c r="AK216" s="259"/>
      <c r="AL216" s="259"/>
    </row>
    <row r="217" spans="1:38" x14ac:dyDescent="0.2">
      <c r="B217" s="239" t="s">
        <v>121</v>
      </c>
      <c r="C217" s="241" t="s">
        <v>37</v>
      </c>
      <c r="E217" s="257">
        <v>-6.7</v>
      </c>
      <c r="F217" s="257">
        <f>-10.5-E217</f>
        <v>-3.8</v>
      </c>
      <c r="G217" s="257">
        <v>-9.9</v>
      </c>
      <c r="H217" s="257">
        <f>-19.5-G217</f>
        <v>-9.6</v>
      </c>
      <c r="I217" s="257">
        <v>-17.100000000000001</v>
      </c>
      <c r="J217" s="257">
        <f>-28.2-I217</f>
        <v>-11.099999999999998</v>
      </c>
      <c r="K217" s="574">
        <v>-12</v>
      </c>
      <c r="L217" s="574">
        <v>-9.5</v>
      </c>
      <c r="M217" s="574">
        <v>-11.5</v>
      </c>
      <c r="N217" s="574">
        <v>-10</v>
      </c>
      <c r="O217" s="229">
        <f t="shared" ref="O217:AL217" si="89">O75*O219</f>
        <v>-11.709474776999999</v>
      </c>
      <c r="P217" s="229">
        <f t="shared" si="89"/>
        <v>-10.030125609000004</v>
      </c>
      <c r="Q217" s="229">
        <f t="shared" si="89"/>
        <v>-12.294948515850002</v>
      </c>
      <c r="R217" s="229">
        <f t="shared" si="89"/>
        <v>-10.531631889450004</v>
      </c>
      <c r="S217" s="229">
        <f t="shared" si="89"/>
        <v>-12.9096959416425</v>
      </c>
      <c r="T217" s="229">
        <f t="shared" si="89"/>
        <v>-11.058213483922506</v>
      </c>
      <c r="U217" s="229">
        <f t="shared" si="89"/>
        <v>-13.555180738724626</v>
      </c>
      <c r="V217" s="229">
        <f t="shared" si="89"/>
        <v>-11.611124158118635</v>
      </c>
      <c r="W217" s="229">
        <f t="shared" si="89"/>
        <v>-14.232939775660856</v>
      </c>
      <c r="X217" s="229">
        <f t="shared" si="89"/>
        <v>-12.191680366024565</v>
      </c>
      <c r="Y217" s="229">
        <f t="shared" si="89"/>
        <v>-14.944586764443898</v>
      </c>
      <c r="Z217" s="229">
        <f t="shared" si="89"/>
        <v>-12.801264384325794</v>
      </c>
      <c r="AA217" s="229">
        <f t="shared" si="89"/>
        <v>-15.691816102666094</v>
      </c>
      <c r="AB217" s="229">
        <f t="shared" si="89"/>
        <v>-13.441327603542085</v>
      </c>
      <c r="AC217" s="229">
        <f t="shared" si="89"/>
        <v>-16.476406907799404</v>
      </c>
      <c r="AD217" s="229">
        <f t="shared" si="89"/>
        <v>-14.11339398371919</v>
      </c>
      <c r="AE217" s="229">
        <f t="shared" si="89"/>
        <v>-17.300227253189373</v>
      </c>
      <c r="AF217" s="229">
        <f t="shared" si="89"/>
        <v>-14.819063682905147</v>
      </c>
      <c r="AG217" s="229">
        <f t="shared" si="89"/>
        <v>-18.165238615848843</v>
      </c>
      <c r="AH217" s="229">
        <f t="shared" si="89"/>
        <v>-15.560016867050411</v>
      </c>
      <c r="AI217" s="229">
        <f t="shared" si="89"/>
        <v>-19.073500546641284</v>
      </c>
      <c r="AJ217" s="229">
        <f t="shared" si="89"/>
        <v>-16.33801771040293</v>
      </c>
      <c r="AK217" s="229">
        <f t="shared" si="89"/>
        <v>-20.027175573973349</v>
      </c>
      <c r="AL217" s="229">
        <f t="shared" si="89"/>
        <v>-17.154918595923075</v>
      </c>
    </row>
    <row r="218" spans="1:38" x14ac:dyDescent="0.2">
      <c r="B218" s="226" t="s">
        <v>113</v>
      </c>
      <c r="C218" s="205" t="s">
        <v>39</v>
      </c>
      <c r="E218" s="240">
        <f t="shared" ref="E218:AL218" si="90">E217/E64</f>
        <v>-2.2423025435073629E-2</v>
      </c>
      <c r="F218" s="240">
        <f t="shared" si="90"/>
        <v>-1.2964858410098944E-2</v>
      </c>
      <c r="G218" s="240">
        <f t="shared" si="90"/>
        <v>-1.5346457913501782E-2</v>
      </c>
      <c r="H218" s="240">
        <f t="shared" si="90"/>
        <v>-1.2382303624403455E-2</v>
      </c>
      <c r="I218" s="240">
        <f t="shared" si="90"/>
        <v>-2.1181716833890751E-2</v>
      </c>
      <c r="J218" s="240">
        <f t="shared" si="90"/>
        <v>-1.4097028194056383E-2</v>
      </c>
      <c r="K218" s="240">
        <f t="shared" si="90"/>
        <v>-1.3513056991317862E-2</v>
      </c>
      <c r="L218" s="240">
        <f t="shared" si="90"/>
        <v>-1.1382098235894584E-2</v>
      </c>
      <c r="M218" s="240">
        <f t="shared" si="90"/>
        <v>-1.2333345666678999E-2</v>
      </c>
      <c r="N218" s="240">
        <f t="shared" si="90"/>
        <v>-1.1410624797889306E-2</v>
      </c>
      <c r="O218" s="240">
        <f t="shared" si="90"/>
        <v>-1.1959999999999998E-2</v>
      </c>
      <c r="P218" s="240">
        <f t="shared" si="90"/>
        <v>-1.0900000000000002E-2</v>
      </c>
      <c r="Q218" s="240">
        <f t="shared" si="90"/>
        <v>-1.1960000000000002E-2</v>
      </c>
      <c r="R218" s="240">
        <f t="shared" si="90"/>
        <v>-1.09E-2</v>
      </c>
      <c r="S218" s="240">
        <f t="shared" si="90"/>
        <v>-1.1959999999999998E-2</v>
      </c>
      <c r="T218" s="240">
        <f t="shared" si="90"/>
        <v>-1.0900000000000002E-2</v>
      </c>
      <c r="U218" s="240">
        <f t="shared" si="90"/>
        <v>-1.196E-2</v>
      </c>
      <c r="V218" s="240">
        <f t="shared" si="90"/>
        <v>-1.0900000000000003E-2</v>
      </c>
      <c r="W218" s="240">
        <f t="shared" si="90"/>
        <v>-1.1959999999999998E-2</v>
      </c>
      <c r="X218" s="240">
        <f t="shared" si="90"/>
        <v>-1.0900000000000002E-2</v>
      </c>
      <c r="Y218" s="240">
        <f t="shared" si="90"/>
        <v>-1.1959999999999997E-2</v>
      </c>
      <c r="Z218" s="240">
        <f t="shared" si="90"/>
        <v>-1.0900000000000002E-2</v>
      </c>
      <c r="AA218" s="240">
        <f t="shared" si="90"/>
        <v>-1.1959999999999998E-2</v>
      </c>
      <c r="AB218" s="240">
        <f t="shared" si="90"/>
        <v>-1.0900000000000002E-2</v>
      </c>
      <c r="AC218" s="240">
        <f t="shared" si="90"/>
        <v>-1.1960000000000002E-2</v>
      </c>
      <c r="AD218" s="240">
        <f t="shared" si="90"/>
        <v>-1.0900000000000002E-2</v>
      </c>
      <c r="AE218" s="240">
        <f t="shared" si="90"/>
        <v>-1.196E-2</v>
      </c>
      <c r="AF218" s="240">
        <f t="shared" si="90"/>
        <v>-1.09E-2</v>
      </c>
      <c r="AG218" s="240">
        <f t="shared" si="90"/>
        <v>-1.196E-2</v>
      </c>
      <c r="AH218" s="240">
        <f t="shared" si="90"/>
        <v>-1.0900000000000003E-2</v>
      </c>
      <c r="AI218" s="240">
        <f t="shared" si="90"/>
        <v>-1.1959999999999998E-2</v>
      </c>
      <c r="AJ218" s="240">
        <f t="shared" si="90"/>
        <v>-1.0900000000000002E-2</v>
      </c>
      <c r="AK218" s="240">
        <f t="shared" si="90"/>
        <v>-1.1959999999999998E-2</v>
      </c>
      <c r="AL218" s="240">
        <f t="shared" si="90"/>
        <v>-1.0900000000000002E-2</v>
      </c>
    </row>
    <row r="219" spans="1:38" x14ac:dyDescent="0.2">
      <c r="B219" s="226" t="s">
        <v>122</v>
      </c>
      <c r="C219" s="205" t="s">
        <v>39</v>
      </c>
      <c r="E219" s="240">
        <f t="shared" ref="E219:L219" si="91">E217/E75</f>
        <v>-0.21824104234527689</v>
      </c>
      <c r="F219" s="240">
        <f t="shared" si="91"/>
        <v>-0.11764705882352941</v>
      </c>
      <c r="G219" s="240">
        <f t="shared" si="91"/>
        <v>-0.14688427299703263</v>
      </c>
      <c r="H219" s="240">
        <f t="shared" si="91"/>
        <v>-0.11940298507462685</v>
      </c>
      <c r="I219" s="240">
        <f t="shared" si="91"/>
        <v>-0.22559366754617416</v>
      </c>
      <c r="J219" s="240">
        <f t="shared" si="91"/>
        <v>-0.13487241798298905</v>
      </c>
      <c r="K219" s="240">
        <f t="shared" si="91"/>
        <v>-0.12993324030113329</v>
      </c>
      <c r="L219" s="240">
        <f t="shared" si="91"/>
        <v>-0.10442291959536314</v>
      </c>
      <c r="M219" s="408">
        <v>-0.115</v>
      </c>
      <c r="N219" s="408">
        <v>-0.1</v>
      </c>
      <c r="O219" s="282">
        <f t="shared" ref="O219:AL219" si="92">M219</f>
        <v>-0.115</v>
      </c>
      <c r="P219" s="282">
        <f t="shared" si="92"/>
        <v>-0.1</v>
      </c>
      <c r="Q219" s="282">
        <f t="shared" si="92"/>
        <v>-0.115</v>
      </c>
      <c r="R219" s="282">
        <f t="shared" si="92"/>
        <v>-0.1</v>
      </c>
      <c r="S219" s="282">
        <f t="shared" si="92"/>
        <v>-0.115</v>
      </c>
      <c r="T219" s="282">
        <f t="shared" si="92"/>
        <v>-0.1</v>
      </c>
      <c r="U219" s="282">
        <f t="shared" si="92"/>
        <v>-0.115</v>
      </c>
      <c r="V219" s="282">
        <f t="shared" si="92"/>
        <v>-0.1</v>
      </c>
      <c r="W219" s="282">
        <f t="shared" si="92"/>
        <v>-0.115</v>
      </c>
      <c r="X219" s="282">
        <f t="shared" si="92"/>
        <v>-0.1</v>
      </c>
      <c r="Y219" s="282">
        <f t="shared" si="92"/>
        <v>-0.115</v>
      </c>
      <c r="Z219" s="282">
        <f t="shared" si="92"/>
        <v>-0.1</v>
      </c>
      <c r="AA219" s="282">
        <f t="shared" si="92"/>
        <v>-0.115</v>
      </c>
      <c r="AB219" s="282">
        <f t="shared" si="92"/>
        <v>-0.1</v>
      </c>
      <c r="AC219" s="282">
        <f t="shared" si="92"/>
        <v>-0.115</v>
      </c>
      <c r="AD219" s="282">
        <f t="shared" si="92"/>
        <v>-0.1</v>
      </c>
      <c r="AE219" s="282">
        <f t="shared" si="92"/>
        <v>-0.115</v>
      </c>
      <c r="AF219" s="282">
        <f t="shared" si="92"/>
        <v>-0.1</v>
      </c>
      <c r="AG219" s="282">
        <f t="shared" si="92"/>
        <v>-0.115</v>
      </c>
      <c r="AH219" s="282">
        <f t="shared" si="92"/>
        <v>-0.1</v>
      </c>
      <c r="AI219" s="282">
        <f t="shared" si="92"/>
        <v>-0.115</v>
      </c>
      <c r="AJ219" s="282">
        <f t="shared" si="92"/>
        <v>-0.1</v>
      </c>
      <c r="AK219" s="282">
        <f t="shared" si="92"/>
        <v>-0.115</v>
      </c>
      <c r="AL219" s="282">
        <f t="shared" si="92"/>
        <v>-0.1</v>
      </c>
    </row>
    <row r="220" spans="1:38" x14ac:dyDescent="0.2">
      <c r="B220" s="226"/>
      <c r="C220" s="230"/>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c r="AA220" s="232"/>
      <c r="AB220" s="232"/>
      <c r="AC220" s="232"/>
      <c r="AD220" s="232"/>
      <c r="AE220" s="232"/>
      <c r="AF220" s="232"/>
      <c r="AG220" s="232"/>
      <c r="AH220" s="232"/>
      <c r="AI220" s="232"/>
      <c r="AJ220" s="232"/>
      <c r="AK220" s="232"/>
      <c r="AL220" s="232"/>
    </row>
    <row r="221" spans="1:38" s="237" customFormat="1" x14ac:dyDescent="0.2">
      <c r="A221" s="218"/>
      <c r="B221" s="413" t="s">
        <v>123</v>
      </c>
      <c r="C221" s="235" t="s">
        <v>37</v>
      </c>
      <c r="D221" s="238"/>
      <c r="E221" s="231">
        <v>-4.8</v>
      </c>
      <c r="F221" s="231">
        <f>-10-E221</f>
        <v>-5.2</v>
      </c>
      <c r="G221" s="231">
        <v>-10.4</v>
      </c>
      <c r="H221" s="231">
        <f>-21-G221</f>
        <v>-10.6</v>
      </c>
      <c r="I221" s="231">
        <v>-13.3</v>
      </c>
      <c r="J221" s="231">
        <f>-22.4-I221</f>
        <v>-9.0999999999999979</v>
      </c>
      <c r="K221" s="232"/>
      <c r="L221" s="232"/>
      <c r="M221" s="232"/>
      <c r="N221" s="232"/>
      <c r="O221" s="232"/>
      <c r="P221" s="232"/>
      <c r="Q221" s="232"/>
      <c r="R221" s="232"/>
      <c r="S221" s="232"/>
      <c r="T221" s="232"/>
      <c r="U221" s="232"/>
      <c r="V221" s="232"/>
      <c r="W221" s="232"/>
      <c r="X221" s="232"/>
      <c r="Y221" s="232"/>
      <c r="Z221" s="232"/>
      <c r="AA221" s="232"/>
      <c r="AB221" s="232"/>
      <c r="AC221" s="232"/>
      <c r="AD221" s="232"/>
      <c r="AE221" s="232"/>
      <c r="AF221" s="232"/>
      <c r="AG221" s="232"/>
      <c r="AH221" s="232"/>
      <c r="AI221" s="232"/>
      <c r="AJ221" s="232"/>
      <c r="AK221" s="232"/>
      <c r="AL221" s="232"/>
    </row>
    <row r="222" spans="1:38" s="237" customFormat="1" x14ac:dyDescent="0.2">
      <c r="A222" s="218"/>
      <c r="B222" s="413" t="s">
        <v>124</v>
      </c>
      <c r="C222" s="235" t="s">
        <v>37</v>
      </c>
      <c r="D222" s="238"/>
      <c r="E222" s="231">
        <v>-1.7</v>
      </c>
      <c r="F222" s="231">
        <f>-3.6-E222</f>
        <v>-1.9000000000000001</v>
      </c>
      <c r="G222" s="231">
        <v>-2</v>
      </c>
      <c r="H222" s="231">
        <f>-3.7-G222</f>
        <v>-1.7000000000000002</v>
      </c>
      <c r="I222" s="231">
        <v>-2.7</v>
      </c>
      <c r="J222" s="231">
        <f>-5.9-I222</f>
        <v>-3.2</v>
      </c>
      <c r="K222" s="232"/>
      <c r="L222" s="232"/>
      <c r="M222" s="232"/>
      <c r="N222" s="232"/>
      <c r="O222" s="232"/>
      <c r="P222" s="232"/>
      <c r="Q222" s="232"/>
      <c r="R222" s="232"/>
      <c r="S222" s="232"/>
      <c r="T222" s="232"/>
      <c r="U222" s="232"/>
      <c r="V222" s="232"/>
      <c r="W222" s="232"/>
      <c r="X222" s="232"/>
      <c r="Y222" s="232"/>
      <c r="Z222" s="232"/>
      <c r="AA222" s="232"/>
      <c r="AB222" s="232"/>
      <c r="AC222" s="232"/>
      <c r="AD222" s="232"/>
      <c r="AE222" s="232"/>
      <c r="AF222" s="232"/>
      <c r="AG222" s="232"/>
      <c r="AH222" s="232"/>
      <c r="AI222" s="232"/>
      <c r="AJ222" s="232"/>
      <c r="AK222" s="232"/>
      <c r="AL222" s="232"/>
    </row>
    <row r="223" spans="1:38" s="237" customFormat="1" x14ac:dyDescent="0.2">
      <c r="A223" s="218"/>
      <c r="B223" s="413" t="s">
        <v>125</v>
      </c>
      <c r="C223" s="235" t="s">
        <v>37</v>
      </c>
      <c r="D223" s="238"/>
      <c r="E223" s="231">
        <v>-2.4</v>
      </c>
      <c r="F223" s="231">
        <f>-4-E223</f>
        <v>-1.6</v>
      </c>
      <c r="G223" s="231">
        <v>-3.7</v>
      </c>
      <c r="H223" s="231">
        <f>-5.3-G223</f>
        <v>-1.5999999999999996</v>
      </c>
      <c r="I223" s="231">
        <v>-3.3</v>
      </c>
      <c r="J223" s="231">
        <f>-5.5-I223</f>
        <v>-2.2000000000000002</v>
      </c>
      <c r="K223" s="232"/>
      <c r="L223" s="232"/>
      <c r="M223" s="232"/>
      <c r="N223" s="232"/>
      <c r="O223" s="232"/>
      <c r="P223" s="232"/>
      <c r="Q223" s="232"/>
      <c r="R223" s="232"/>
      <c r="S223" s="232"/>
      <c r="T223" s="232"/>
      <c r="U223" s="232"/>
      <c r="V223" s="232"/>
      <c r="W223" s="232"/>
      <c r="X223" s="232"/>
      <c r="Y223" s="232"/>
      <c r="Z223" s="232"/>
      <c r="AA223" s="232"/>
      <c r="AB223" s="232"/>
      <c r="AC223" s="232"/>
      <c r="AD223" s="232"/>
      <c r="AE223" s="232"/>
      <c r="AF223" s="232"/>
      <c r="AG223" s="232"/>
      <c r="AH223" s="232"/>
      <c r="AI223" s="232"/>
      <c r="AJ223" s="232"/>
      <c r="AK223" s="232"/>
      <c r="AL223" s="232"/>
    </row>
    <row r="224" spans="1:38" s="237" customFormat="1" x14ac:dyDescent="0.2">
      <c r="A224" s="218"/>
      <c r="B224" s="413" t="s">
        <v>126</v>
      </c>
      <c r="C224" s="235" t="s">
        <v>37</v>
      </c>
      <c r="D224" s="238"/>
      <c r="E224" s="231">
        <v>-1.2</v>
      </c>
      <c r="F224" s="231">
        <f>-3-E224</f>
        <v>-1.8</v>
      </c>
      <c r="G224" s="231">
        <v>-2.6</v>
      </c>
      <c r="H224" s="231">
        <f>-5.6-G224</f>
        <v>-2.9999999999999996</v>
      </c>
      <c r="I224" s="231">
        <v>-2.9</v>
      </c>
      <c r="J224" s="231">
        <f>-6.1-I224</f>
        <v>-3.1999999999999997</v>
      </c>
      <c r="K224" s="232"/>
      <c r="L224" s="232"/>
      <c r="M224" s="232"/>
      <c r="N224" s="232"/>
      <c r="O224" s="232"/>
      <c r="P224" s="232"/>
      <c r="Q224" s="232"/>
      <c r="R224" s="232"/>
      <c r="S224" s="232"/>
      <c r="T224" s="232"/>
      <c r="U224" s="232"/>
      <c r="V224" s="232"/>
      <c r="W224" s="232"/>
      <c r="X224" s="232"/>
      <c r="Y224" s="232"/>
      <c r="Z224" s="232"/>
      <c r="AA224" s="232"/>
      <c r="AB224" s="232"/>
      <c r="AC224" s="232"/>
      <c r="AD224" s="232"/>
      <c r="AE224" s="232"/>
      <c r="AF224" s="232"/>
      <c r="AG224" s="232"/>
      <c r="AH224" s="232"/>
      <c r="AI224" s="232"/>
      <c r="AJ224" s="232"/>
      <c r="AK224" s="232"/>
      <c r="AL224" s="232"/>
    </row>
    <row r="225" spans="1:38" x14ac:dyDescent="0.2">
      <c r="B225" s="251" t="s">
        <v>67</v>
      </c>
      <c r="C225" s="252" t="s">
        <v>67</v>
      </c>
      <c r="D225" s="253"/>
      <c r="E225" s="254" t="s">
        <v>67</v>
      </c>
      <c r="F225" s="254" t="s">
        <v>67</v>
      </c>
      <c r="G225" s="254" t="s">
        <v>67</v>
      </c>
      <c r="H225" s="254" t="s">
        <v>67</v>
      </c>
      <c r="I225" s="254" t="s">
        <v>67</v>
      </c>
      <c r="J225" s="254" t="s">
        <v>67</v>
      </c>
      <c r="K225" s="254" t="s">
        <v>67</v>
      </c>
      <c r="L225" s="254" t="s">
        <v>67</v>
      </c>
      <c r="M225" s="254" t="s">
        <v>67</v>
      </c>
      <c r="N225" s="254" t="s">
        <v>67</v>
      </c>
      <c r="O225" s="254" t="s">
        <v>67</v>
      </c>
      <c r="P225" s="254" t="s">
        <v>67</v>
      </c>
      <c r="Q225" s="254" t="s">
        <v>67</v>
      </c>
      <c r="R225" s="254" t="s">
        <v>67</v>
      </c>
      <c r="S225" s="254" t="s">
        <v>67</v>
      </c>
      <c r="T225" s="254" t="s">
        <v>67</v>
      </c>
      <c r="U225" s="254" t="s">
        <v>67</v>
      </c>
      <c r="V225" s="254" t="s">
        <v>67</v>
      </c>
      <c r="W225" s="254" t="s">
        <v>67</v>
      </c>
      <c r="X225" s="254" t="s">
        <v>67</v>
      </c>
      <c r="Y225" s="254" t="s">
        <v>67</v>
      </c>
      <c r="Z225" s="254" t="s">
        <v>67</v>
      </c>
      <c r="AA225" s="254" t="s">
        <v>67</v>
      </c>
      <c r="AB225" s="254" t="s">
        <v>67</v>
      </c>
      <c r="AC225" s="254" t="s">
        <v>67</v>
      </c>
      <c r="AD225" s="254" t="s">
        <v>67</v>
      </c>
      <c r="AE225" s="254" t="s">
        <v>67</v>
      </c>
      <c r="AF225" s="254" t="s">
        <v>67</v>
      </c>
      <c r="AG225" s="254" t="s">
        <v>67</v>
      </c>
      <c r="AH225" s="254" t="s">
        <v>67</v>
      </c>
      <c r="AI225" s="254" t="s">
        <v>67</v>
      </c>
      <c r="AJ225" s="254" t="s">
        <v>67</v>
      </c>
      <c r="AK225" s="254" t="s">
        <v>67</v>
      </c>
      <c r="AL225" s="254" t="s">
        <v>67</v>
      </c>
    </row>
    <row r="226" spans="1:38" s="237" customFormat="1" x14ac:dyDescent="0.2">
      <c r="A226" s="218"/>
      <c r="B226" s="410" t="s">
        <v>127</v>
      </c>
      <c r="C226" s="241" t="s">
        <v>37</v>
      </c>
      <c r="D226" s="238"/>
      <c r="E226" s="229">
        <f t="shared" ref="E226:J226" si="93">SUM(E221:E225)</f>
        <v>-10.1</v>
      </c>
      <c r="F226" s="229">
        <f t="shared" si="93"/>
        <v>-10.500000000000002</v>
      </c>
      <c r="G226" s="229">
        <f t="shared" si="93"/>
        <v>-18.700000000000003</v>
      </c>
      <c r="H226" s="229">
        <f t="shared" si="93"/>
        <v>-16.899999999999999</v>
      </c>
      <c r="I226" s="229">
        <f t="shared" si="93"/>
        <v>-22.2</v>
      </c>
      <c r="J226" s="229">
        <f t="shared" si="93"/>
        <v>-17.699999999999996</v>
      </c>
      <c r="K226" s="574">
        <v>-17.5</v>
      </c>
      <c r="L226" s="574">
        <v>-16</v>
      </c>
      <c r="M226" s="538">
        <f t="shared" ref="M226:AL226" si="94">M75*M230</f>
        <v>-17.649063431999998</v>
      </c>
      <c r="N226" s="538">
        <f t="shared" si="94"/>
        <v>-15.570575945400005</v>
      </c>
      <c r="O226" s="538">
        <f t="shared" si="94"/>
        <v>-17.309658366000001</v>
      </c>
      <c r="P226" s="538">
        <f t="shared" si="94"/>
        <v>-15.546694693950005</v>
      </c>
      <c r="Q226" s="538">
        <f t="shared" si="94"/>
        <v>-16.571452347450002</v>
      </c>
      <c r="R226" s="538">
        <f t="shared" si="94"/>
        <v>-16.324029428647506</v>
      </c>
      <c r="S226" s="538">
        <f t="shared" si="94"/>
        <v>-16.838733836924998</v>
      </c>
      <c r="T226" s="538">
        <f t="shared" si="94"/>
        <v>-16.587320225883758</v>
      </c>
      <c r="U226" s="538">
        <f t="shared" si="94"/>
        <v>-17.680670528771252</v>
      </c>
      <c r="V226" s="538">
        <f t="shared" si="94"/>
        <v>-17.416686237177949</v>
      </c>
      <c r="W226" s="538">
        <f t="shared" si="94"/>
        <v>-18.564704055209809</v>
      </c>
      <c r="X226" s="538">
        <f t="shared" si="94"/>
        <v>-18.287520549036845</v>
      </c>
      <c r="Y226" s="538">
        <f t="shared" si="94"/>
        <v>-19.492939257970299</v>
      </c>
      <c r="Z226" s="538">
        <f t="shared" si="94"/>
        <v>-19.201896576488689</v>
      </c>
      <c r="AA226" s="538">
        <f t="shared" si="94"/>
        <v>-20.467586220868817</v>
      </c>
      <c r="AB226" s="538">
        <f t="shared" si="94"/>
        <v>-20.161991405313124</v>
      </c>
      <c r="AC226" s="538">
        <f t="shared" si="94"/>
        <v>-21.490965531912263</v>
      </c>
      <c r="AD226" s="538">
        <f t="shared" si="94"/>
        <v>-21.170090975578784</v>
      </c>
      <c r="AE226" s="538">
        <f t="shared" si="94"/>
        <v>-22.565513808507877</v>
      </c>
      <c r="AF226" s="538">
        <f t="shared" si="94"/>
        <v>-22.228595524357718</v>
      </c>
      <c r="AG226" s="538">
        <f t="shared" si="94"/>
        <v>-23.693789498933274</v>
      </c>
      <c r="AH226" s="538">
        <f t="shared" si="94"/>
        <v>-23.340025300575615</v>
      </c>
      <c r="AI226" s="538">
        <f t="shared" si="94"/>
        <v>-24.878478973879936</v>
      </c>
      <c r="AJ226" s="538">
        <f t="shared" si="94"/>
        <v>-24.507026565604392</v>
      </c>
      <c r="AK226" s="538">
        <f t="shared" si="94"/>
        <v>-26.122402922573933</v>
      </c>
      <c r="AL226" s="538">
        <f t="shared" si="94"/>
        <v>-25.732377893884614</v>
      </c>
    </row>
    <row r="227" spans="1:38" s="237" customFormat="1" x14ac:dyDescent="0.2">
      <c r="A227" s="218"/>
      <c r="B227" s="226" t="s">
        <v>128</v>
      </c>
      <c r="C227" s="235" t="s">
        <v>37</v>
      </c>
      <c r="D227" s="238"/>
      <c r="E227" s="232">
        <f t="shared" ref="E227:AL227" si="95">E217</f>
        <v>-6.7</v>
      </c>
      <c r="F227" s="232">
        <f t="shared" si="95"/>
        <v>-3.8</v>
      </c>
      <c r="G227" s="232">
        <f t="shared" si="95"/>
        <v>-9.9</v>
      </c>
      <c r="H227" s="232">
        <f t="shared" si="95"/>
        <v>-9.6</v>
      </c>
      <c r="I227" s="232">
        <f t="shared" si="95"/>
        <v>-17.100000000000001</v>
      </c>
      <c r="J227" s="232">
        <f t="shared" ref="J227" si="96">J217</f>
        <v>-11.099999999999998</v>
      </c>
      <c r="K227" s="232">
        <f t="shared" si="95"/>
        <v>-12</v>
      </c>
      <c r="L227" s="232">
        <f t="shared" si="95"/>
        <v>-9.5</v>
      </c>
      <c r="M227" s="232">
        <f t="shared" si="95"/>
        <v>-11.5</v>
      </c>
      <c r="N227" s="232">
        <f t="shared" si="95"/>
        <v>-10</v>
      </c>
      <c r="O227" s="232">
        <f t="shared" si="95"/>
        <v>-11.709474776999999</v>
      </c>
      <c r="P227" s="232">
        <f t="shared" si="95"/>
        <v>-10.030125609000004</v>
      </c>
      <c r="Q227" s="232">
        <f t="shared" si="95"/>
        <v>-12.294948515850002</v>
      </c>
      <c r="R227" s="232">
        <f t="shared" si="95"/>
        <v>-10.531631889450004</v>
      </c>
      <c r="S227" s="232">
        <f t="shared" si="95"/>
        <v>-12.9096959416425</v>
      </c>
      <c r="T227" s="232">
        <f t="shared" si="95"/>
        <v>-11.058213483922506</v>
      </c>
      <c r="U227" s="232">
        <f t="shared" si="95"/>
        <v>-13.555180738724626</v>
      </c>
      <c r="V227" s="232">
        <f t="shared" si="95"/>
        <v>-11.611124158118635</v>
      </c>
      <c r="W227" s="232">
        <f t="shared" si="95"/>
        <v>-14.232939775660856</v>
      </c>
      <c r="X227" s="232">
        <f t="shared" si="95"/>
        <v>-12.191680366024565</v>
      </c>
      <c r="Y227" s="232">
        <f t="shared" si="95"/>
        <v>-14.944586764443898</v>
      </c>
      <c r="Z227" s="232">
        <f t="shared" si="95"/>
        <v>-12.801264384325794</v>
      </c>
      <c r="AA227" s="232">
        <f t="shared" si="95"/>
        <v>-15.691816102666094</v>
      </c>
      <c r="AB227" s="232">
        <f t="shared" si="95"/>
        <v>-13.441327603542085</v>
      </c>
      <c r="AC227" s="232">
        <f t="shared" si="95"/>
        <v>-16.476406907799404</v>
      </c>
      <c r="AD227" s="232">
        <f t="shared" si="95"/>
        <v>-14.11339398371919</v>
      </c>
      <c r="AE227" s="232">
        <f t="shared" si="95"/>
        <v>-17.300227253189373</v>
      </c>
      <c r="AF227" s="232">
        <f t="shared" si="95"/>
        <v>-14.819063682905147</v>
      </c>
      <c r="AG227" s="232">
        <f t="shared" si="95"/>
        <v>-18.165238615848843</v>
      </c>
      <c r="AH227" s="232">
        <f t="shared" si="95"/>
        <v>-15.560016867050411</v>
      </c>
      <c r="AI227" s="232">
        <f t="shared" si="95"/>
        <v>-19.073500546641284</v>
      </c>
      <c r="AJ227" s="232">
        <f t="shared" si="95"/>
        <v>-16.33801771040293</v>
      </c>
      <c r="AK227" s="232">
        <f t="shared" si="95"/>
        <v>-20.027175573973349</v>
      </c>
      <c r="AL227" s="232">
        <f t="shared" si="95"/>
        <v>-17.154918595923075</v>
      </c>
    </row>
    <row r="228" spans="1:38" x14ac:dyDescent="0.2">
      <c r="B228" s="251" t="s">
        <v>67</v>
      </c>
      <c r="C228" s="252" t="s">
        <v>67</v>
      </c>
      <c r="D228" s="253"/>
      <c r="E228" s="254" t="s">
        <v>67</v>
      </c>
      <c r="F228" s="254" t="s">
        <v>67</v>
      </c>
      <c r="G228" s="254" t="s">
        <v>67</v>
      </c>
      <c r="H228" s="254" t="s">
        <v>67</v>
      </c>
      <c r="I228" s="254" t="s">
        <v>67</v>
      </c>
      <c r="J228" s="254" t="s">
        <v>67</v>
      </c>
      <c r="K228" s="254" t="s">
        <v>67</v>
      </c>
      <c r="L228" s="254" t="s">
        <v>67</v>
      </c>
      <c r="M228" s="254" t="s">
        <v>67</v>
      </c>
      <c r="N228" s="254" t="s">
        <v>67</v>
      </c>
      <c r="O228" s="254" t="s">
        <v>67</v>
      </c>
      <c r="P228" s="254" t="s">
        <v>67</v>
      </c>
      <c r="Q228" s="254" t="s">
        <v>67</v>
      </c>
      <c r="R228" s="254" t="s">
        <v>67</v>
      </c>
      <c r="S228" s="254" t="s">
        <v>67</v>
      </c>
      <c r="T228" s="254" t="s">
        <v>67</v>
      </c>
      <c r="U228" s="254" t="s">
        <v>67</v>
      </c>
      <c r="V228" s="254" t="s">
        <v>67</v>
      </c>
      <c r="W228" s="254" t="s">
        <v>67</v>
      </c>
      <c r="X228" s="254" t="s">
        <v>67</v>
      </c>
      <c r="Y228" s="254" t="s">
        <v>67</v>
      </c>
      <c r="Z228" s="254" t="s">
        <v>67</v>
      </c>
      <c r="AA228" s="254" t="s">
        <v>67</v>
      </c>
      <c r="AB228" s="254" t="s">
        <v>67</v>
      </c>
      <c r="AC228" s="254" t="s">
        <v>67</v>
      </c>
      <c r="AD228" s="254" t="s">
        <v>67</v>
      </c>
      <c r="AE228" s="254" t="s">
        <v>67</v>
      </c>
      <c r="AF228" s="254" t="s">
        <v>67</v>
      </c>
      <c r="AG228" s="254" t="s">
        <v>67</v>
      </c>
      <c r="AH228" s="254" t="s">
        <v>67</v>
      </c>
      <c r="AI228" s="254" t="s">
        <v>67</v>
      </c>
      <c r="AJ228" s="254" t="s">
        <v>67</v>
      </c>
      <c r="AK228" s="254" t="s">
        <v>67</v>
      </c>
      <c r="AL228" s="254" t="s">
        <v>67</v>
      </c>
    </row>
    <row r="229" spans="1:38" s="237" customFormat="1" x14ac:dyDescent="0.2">
      <c r="A229" s="218"/>
      <c r="B229" s="411" t="s">
        <v>129</v>
      </c>
      <c r="C229" s="241" t="s">
        <v>37</v>
      </c>
      <c r="D229" s="238"/>
      <c r="E229" s="257">
        <v>-16.8</v>
      </c>
      <c r="F229" s="257">
        <f>-31.1-E229</f>
        <v>-14.3</v>
      </c>
      <c r="G229" s="257">
        <v>-28.7</v>
      </c>
      <c r="H229" s="257">
        <f>-55.1-G229</f>
        <v>-26.400000000000002</v>
      </c>
      <c r="I229" s="257">
        <v>-39.299999999999997</v>
      </c>
      <c r="J229" s="257">
        <f>-68.2-I229</f>
        <v>-28.900000000000006</v>
      </c>
      <c r="K229" s="229">
        <f t="shared" ref="K229:AL229" si="97">SUM(K226:K228)</f>
        <v>-29.5</v>
      </c>
      <c r="L229" s="229">
        <f t="shared" si="97"/>
        <v>-25.5</v>
      </c>
      <c r="M229" s="229">
        <f t="shared" si="97"/>
        <v>-29.149063431999998</v>
      </c>
      <c r="N229" s="229">
        <f t="shared" si="97"/>
        <v>-25.570575945400005</v>
      </c>
      <c r="O229" s="229">
        <f t="shared" si="97"/>
        <v>-29.019133142999998</v>
      </c>
      <c r="P229" s="229">
        <f t="shared" si="97"/>
        <v>-25.576820302950011</v>
      </c>
      <c r="Q229" s="229">
        <f t="shared" si="97"/>
        <v>-28.866400863300004</v>
      </c>
      <c r="R229" s="229">
        <f t="shared" si="97"/>
        <v>-26.855661318097511</v>
      </c>
      <c r="S229" s="229">
        <f t="shared" si="97"/>
        <v>-29.748429778567498</v>
      </c>
      <c r="T229" s="229">
        <f t="shared" si="97"/>
        <v>-27.645533709806266</v>
      </c>
      <c r="U229" s="229">
        <f t="shared" si="97"/>
        <v>-31.235851267495878</v>
      </c>
      <c r="V229" s="229">
        <f t="shared" si="97"/>
        <v>-29.027810395296584</v>
      </c>
      <c r="W229" s="229">
        <f t="shared" si="97"/>
        <v>-32.797643830870669</v>
      </c>
      <c r="X229" s="229">
        <f t="shared" si="97"/>
        <v>-30.479200915061412</v>
      </c>
      <c r="Y229" s="229">
        <f t="shared" si="97"/>
        <v>-34.437526022414197</v>
      </c>
      <c r="Z229" s="229">
        <f t="shared" si="97"/>
        <v>-32.003160960814483</v>
      </c>
      <c r="AA229" s="229">
        <f t="shared" si="97"/>
        <v>-36.159402323534913</v>
      </c>
      <c r="AB229" s="229">
        <f t="shared" si="97"/>
        <v>-33.603319008855209</v>
      </c>
      <c r="AC229" s="229">
        <f t="shared" si="97"/>
        <v>-37.967372439711667</v>
      </c>
      <c r="AD229" s="229">
        <f t="shared" si="97"/>
        <v>-35.283484959297972</v>
      </c>
      <c r="AE229" s="229">
        <f t="shared" si="97"/>
        <v>-39.86574106169725</v>
      </c>
      <c r="AF229" s="229">
        <f t="shared" si="97"/>
        <v>-37.047659207262868</v>
      </c>
      <c r="AG229" s="229">
        <f t="shared" si="97"/>
        <v>-41.85902811478212</v>
      </c>
      <c r="AH229" s="229">
        <f t="shared" si="97"/>
        <v>-38.900042167626026</v>
      </c>
      <c r="AI229" s="229">
        <f t="shared" si="97"/>
        <v>-43.95197952052122</v>
      </c>
      <c r="AJ229" s="229">
        <f t="shared" si="97"/>
        <v>-40.845044276007322</v>
      </c>
      <c r="AK229" s="229">
        <f t="shared" si="97"/>
        <v>-46.149578496547278</v>
      </c>
      <c r="AL229" s="229">
        <f t="shared" si="97"/>
        <v>-42.887296489807689</v>
      </c>
    </row>
    <row r="230" spans="1:38" x14ac:dyDescent="0.2">
      <c r="B230" s="226" t="s">
        <v>130</v>
      </c>
      <c r="C230" s="205" t="s">
        <v>39</v>
      </c>
      <c r="E230" s="300">
        <f t="shared" ref="E230:L230" si="98">E226/E75</f>
        <v>-0.3289902280130293</v>
      </c>
      <c r="F230" s="300">
        <f t="shared" si="98"/>
        <v>-0.32507739938080504</v>
      </c>
      <c r="G230" s="300">
        <f t="shared" si="98"/>
        <v>-0.27744807121661724</v>
      </c>
      <c r="H230" s="300">
        <f t="shared" si="98"/>
        <v>-0.21019900497512434</v>
      </c>
      <c r="I230" s="300">
        <f t="shared" si="98"/>
        <v>-0.29287598944591031</v>
      </c>
      <c r="J230" s="300">
        <f t="shared" si="98"/>
        <v>-0.21506682867557711</v>
      </c>
      <c r="K230" s="300">
        <f t="shared" si="98"/>
        <v>-0.18948597543915269</v>
      </c>
      <c r="L230" s="300">
        <f t="shared" si="98"/>
        <v>-0.17587018037113791</v>
      </c>
      <c r="M230" s="408">
        <v>-0.182</v>
      </c>
      <c r="N230" s="408">
        <v>-0.16300000000000001</v>
      </c>
      <c r="O230" s="408">
        <v>-0.17</v>
      </c>
      <c r="P230" s="408">
        <v>-0.155</v>
      </c>
      <c r="Q230" s="408">
        <v>-0.155</v>
      </c>
      <c r="R230" s="408">
        <v>-0.155</v>
      </c>
      <c r="S230" s="408">
        <v>-0.15</v>
      </c>
      <c r="T230" s="408">
        <v>-0.15</v>
      </c>
      <c r="U230" s="408">
        <v>-0.15</v>
      </c>
      <c r="V230" s="408">
        <v>-0.15</v>
      </c>
      <c r="W230" s="408">
        <v>-0.15</v>
      </c>
      <c r="X230" s="408">
        <v>-0.15</v>
      </c>
      <c r="Y230" s="408">
        <v>-0.15</v>
      </c>
      <c r="Z230" s="408">
        <v>-0.15</v>
      </c>
      <c r="AA230" s="408">
        <v>-0.15</v>
      </c>
      <c r="AB230" s="408">
        <v>-0.15</v>
      </c>
      <c r="AC230" s="408">
        <v>-0.15</v>
      </c>
      <c r="AD230" s="408">
        <v>-0.15</v>
      </c>
      <c r="AE230" s="408">
        <v>-0.15</v>
      </c>
      <c r="AF230" s="408">
        <v>-0.15</v>
      </c>
      <c r="AG230" s="408">
        <v>-0.15</v>
      </c>
      <c r="AH230" s="408">
        <v>-0.15</v>
      </c>
      <c r="AI230" s="408">
        <v>-0.15</v>
      </c>
      <c r="AJ230" s="408">
        <v>-0.15</v>
      </c>
      <c r="AK230" s="408">
        <v>-0.15</v>
      </c>
      <c r="AL230" s="408">
        <v>-0.15</v>
      </c>
    </row>
    <row r="231" spans="1:38" s="237" customFormat="1" x14ac:dyDescent="0.2">
      <c r="A231" s="218"/>
      <c r="B231" s="531" t="s">
        <v>74</v>
      </c>
      <c r="C231" s="274" t="s">
        <v>37</v>
      </c>
      <c r="D231" s="218"/>
      <c r="E231" s="269">
        <f t="shared" ref="E231:AL231" si="99">E229-SUM(E226:E228)</f>
        <v>0</v>
      </c>
      <c r="F231" s="269">
        <f t="shared" si="99"/>
        <v>0</v>
      </c>
      <c r="G231" s="269">
        <f t="shared" si="99"/>
        <v>-9.9999999999997868E-2</v>
      </c>
      <c r="H231" s="269">
        <f t="shared" si="99"/>
        <v>9.9999999999997868E-2</v>
      </c>
      <c r="I231" s="269">
        <f t="shared" si="99"/>
        <v>0</v>
      </c>
      <c r="J231" s="269">
        <f t="shared" si="99"/>
        <v>-0.10000000000001208</v>
      </c>
      <c r="K231" s="269">
        <f t="shared" si="99"/>
        <v>0</v>
      </c>
      <c r="L231" s="269">
        <f t="shared" si="99"/>
        <v>0</v>
      </c>
      <c r="M231" s="269">
        <f t="shared" si="99"/>
        <v>0</v>
      </c>
      <c r="N231" s="269">
        <f t="shared" si="99"/>
        <v>0</v>
      </c>
      <c r="O231" s="269">
        <f t="shared" si="99"/>
        <v>0</v>
      </c>
      <c r="P231" s="269">
        <f t="shared" si="99"/>
        <v>0</v>
      </c>
      <c r="Q231" s="269">
        <f t="shared" si="99"/>
        <v>0</v>
      </c>
      <c r="R231" s="269">
        <f t="shared" si="99"/>
        <v>0</v>
      </c>
      <c r="S231" s="269">
        <f t="shared" si="99"/>
        <v>0</v>
      </c>
      <c r="T231" s="269">
        <f t="shared" si="99"/>
        <v>0</v>
      </c>
      <c r="U231" s="269">
        <f t="shared" si="99"/>
        <v>0</v>
      </c>
      <c r="V231" s="269">
        <f t="shared" si="99"/>
        <v>0</v>
      </c>
      <c r="W231" s="269">
        <f t="shared" si="99"/>
        <v>0</v>
      </c>
      <c r="X231" s="269">
        <f t="shared" si="99"/>
        <v>0</v>
      </c>
      <c r="Y231" s="269">
        <f t="shared" si="99"/>
        <v>0</v>
      </c>
      <c r="Z231" s="269">
        <f t="shared" si="99"/>
        <v>0</v>
      </c>
      <c r="AA231" s="269">
        <f t="shared" si="99"/>
        <v>0</v>
      </c>
      <c r="AB231" s="269">
        <f t="shared" si="99"/>
        <v>0</v>
      </c>
      <c r="AC231" s="269">
        <f t="shared" si="99"/>
        <v>0</v>
      </c>
      <c r="AD231" s="269">
        <f t="shared" si="99"/>
        <v>0</v>
      </c>
      <c r="AE231" s="269">
        <f t="shared" si="99"/>
        <v>0</v>
      </c>
      <c r="AF231" s="269">
        <f t="shared" si="99"/>
        <v>0</v>
      </c>
      <c r="AG231" s="269">
        <f t="shared" si="99"/>
        <v>0</v>
      </c>
      <c r="AH231" s="269">
        <f t="shared" si="99"/>
        <v>0</v>
      </c>
      <c r="AI231" s="269">
        <f t="shared" si="99"/>
        <v>0</v>
      </c>
      <c r="AJ231" s="269">
        <f t="shared" si="99"/>
        <v>0</v>
      </c>
      <c r="AK231" s="269">
        <f t="shared" si="99"/>
        <v>0</v>
      </c>
      <c r="AL231" s="269">
        <f t="shared" si="99"/>
        <v>0</v>
      </c>
    </row>
    <row r="232" spans="1:38" s="237" customFormat="1" x14ac:dyDescent="0.2">
      <c r="A232" s="218"/>
      <c r="B232" s="246"/>
      <c r="C232" s="247"/>
      <c r="D232" s="21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c r="AA232" s="248"/>
      <c r="AB232" s="248"/>
      <c r="AC232" s="248"/>
      <c r="AD232" s="248"/>
      <c r="AE232" s="248"/>
      <c r="AF232" s="248"/>
      <c r="AG232" s="248"/>
      <c r="AH232" s="248"/>
      <c r="AI232" s="248"/>
      <c r="AJ232" s="248"/>
      <c r="AK232" s="248"/>
      <c r="AL232" s="248"/>
    </row>
    <row r="233" spans="1:38" s="237" customFormat="1" x14ac:dyDescent="0.2">
      <c r="A233" s="218"/>
      <c r="B233" s="246" t="s">
        <v>131</v>
      </c>
      <c r="C233" s="247"/>
      <c r="D233" s="21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c r="AA233" s="248"/>
      <c r="AB233" s="248"/>
      <c r="AC233" s="248"/>
      <c r="AD233" s="248"/>
      <c r="AE233" s="248"/>
      <c r="AF233" s="248"/>
      <c r="AG233" s="248"/>
      <c r="AH233" s="248"/>
      <c r="AI233" s="248"/>
      <c r="AJ233" s="248"/>
      <c r="AK233" s="248"/>
      <c r="AL233" s="248"/>
    </row>
    <row r="234" spans="1:38" s="237" customFormat="1" x14ac:dyDescent="0.2">
      <c r="A234" s="218"/>
      <c r="B234" s="226" t="s">
        <v>97</v>
      </c>
      <c r="C234" s="230" t="s">
        <v>37</v>
      </c>
      <c r="D234" s="218"/>
      <c r="E234" s="248"/>
      <c r="F234" s="248"/>
      <c r="G234" s="256">
        <f>G172</f>
        <v>-1.2</v>
      </c>
      <c r="H234" s="256">
        <f>H172</f>
        <v>-1.5999999999999999</v>
      </c>
      <c r="I234" s="256">
        <f>I172</f>
        <v>-1.5</v>
      </c>
      <c r="J234" s="256">
        <f>J172</f>
        <v>-3.7</v>
      </c>
      <c r="K234" s="398">
        <f t="shared" ref="K234:AL234" si="100">K226*K235</f>
        <v>-1.3125</v>
      </c>
      <c r="L234" s="398">
        <f t="shared" si="100"/>
        <v>-3.3446327683615831</v>
      </c>
      <c r="M234" s="398">
        <f t="shared" si="100"/>
        <v>-1.3236797573999999</v>
      </c>
      <c r="N234" s="398">
        <f t="shared" si="100"/>
        <v>-3.2548661580779683</v>
      </c>
      <c r="O234" s="398">
        <f t="shared" si="100"/>
        <v>-1.2116760856200002</v>
      </c>
      <c r="P234" s="398">
        <f t="shared" si="100"/>
        <v>-1.0882686285765004</v>
      </c>
      <c r="Q234" s="398">
        <f t="shared" si="100"/>
        <v>-1.1600016643215003</v>
      </c>
      <c r="R234" s="398">
        <f t="shared" si="100"/>
        <v>-1.1426820600053256</v>
      </c>
      <c r="S234" s="398">
        <f t="shared" si="100"/>
        <v>-1.1787113685847499</v>
      </c>
      <c r="T234" s="398">
        <f t="shared" si="100"/>
        <v>-1.1611124158118631</v>
      </c>
      <c r="U234" s="398">
        <f t="shared" si="100"/>
        <v>-1.2376469370139878</v>
      </c>
      <c r="V234" s="398">
        <f t="shared" si="100"/>
        <v>-1.2191680366024564</v>
      </c>
      <c r="W234" s="398">
        <f t="shared" si="100"/>
        <v>-1.2995292838646868</v>
      </c>
      <c r="X234" s="398">
        <f t="shared" si="100"/>
        <v>-1.2801264384325792</v>
      </c>
      <c r="Y234" s="398">
        <f t="shared" si="100"/>
        <v>-1.364505748057921</v>
      </c>
      <c r="Z234" s="398">
        <f t="shared" si="100"/>
        <v>-1.3441327603542084</v>
      </c>
      <c r="AA234" s="398">
        <f t="shared" si="100"/>
        <v>-1.4327310354608174</v>
      </c>
      <c r="AB234" s="398">
        <f t="shared" si="100"/>
        <v>-1.4113393983719189</v>
      </c>
      <c r="AC234" s="398">
        <f t="shared" si="100"/>
        <v>-1.5043675872338584</v>
      </c>
      <c r="AD234" s="398">
        <f t="shared" si="100"/>
        <v>-1.4819063682905149</v>
      </c>
      <c r="AE234" s="398">
        <f t="shared" si="100"/>
        <v>-1.5795859665955516</v>
      </c>
      <c r="AF234" s="398">
        <f t="shared" si="100"/>
        <v>-1.5560016867050404</v>
      </c>
      <c r="AG234" s="398">
        <f t="shared" si="100"/>
        <v>-1.6585652649253293</v>
      </c>
      <c r="AH234" s="398">
        <f t="shared" si="100"/>
        <v>-1.6338017710402932</v>
      </c>
      <c r="AI234" s="398">
        <f t="shared" si="100"/>
        <v>-1.7414935281715958</v>
      </c>
      <c r="AJ234" s="398">
        <f t="shared" si="100"/>
        <v>-1.7154918595923077</v>
      </c>
      <c r="AK234" s="398">
        <f t="shared" si="100"/>
        <v>-1.8285682045801754</v>
      </c>
      <c r="AL234" s="398">
        <f t="shared" si="100"/>
        <v>-1.8012664525719231</v>
      </c>
    </row>
    <row r="235" spans="1:38" s="237" customFormat="1" x14ac:dyDescent="0.2">
      <c r="A235" s="218"/>
      <c r="B235" s="413" t="s">
        <v>132</v>
      </c>
      <c r="C235" s="230" t="s">
        <v>39</v>
      </c>
      <c r="D235" s="218"/>
      <c r="E235" s="248"/>
      <c r="F235" s="248"/>
      <c r="G235" s="300">
        <f>G234/G226</f>
        <v>6.4171122994652399E-2</v>
      </c>
      <c r="H235" s="300">
        <f>H234/H226</f>
        <v>9.4674556213017749E-2</v>
      </c>
      <c r="I235" s="300">
        <f>I234/I226</f>
        <v>6.7567567567567571E-2</v>
      </c>
      <c r="J235" s="300">
        <f>J234/J226</f>
        <v>0.20903954802259894</v>
      </c>
      <c r="K235" s="408">
        <v>7.4999999999999997E-2</v>
      </c>
      <c r="L235" s="282">
        <f t="shared" ref="L235:AL235" si="101">J235</f>
        <v>0.20903954802259894</v>
      </c>
      <c r="M235" s="282">
        <f t="shared" si="101"/>
        <v>7.4999999999999997E-2</v>
      </c>
      <c r="N235" s="282">
        <f t="shared" si="101"/>
        <v>0.20903954802259894</v>
      </c>
      <c r="O235" s="408">
        <v>7.0000000000000007E-2</v>
      </c>
      <c r="P235" s="408">
        <v>7.0000000000000007E-2</v>
      </c>
      <c r="Q235" s="282">
        <f t="shared" si="101"/>
        <v>7.0000000000000007E-2</v>
      </c>
      <c r="R235" s="282">
        <f t="shared" si="101"/>
        <v>7.0000000000000007E-2</v>
      </c>
      <c r="S235" s="282">
        <f t="shared" si="101"/>
        <v>7.0000000000000007E-2</v>
      </c>
      <c r="T235" s="282">
        <f t="shared" si="101"/>
        <v>7.0000000000000007E-2</v>
      </c>
      <c r="U235" s="282">
        <f t="shared" si="101"/>
        <v>7.0000000000000007E-2</v>
      </c>
      <c r="V235" s="282">
        <f t="shared" si="101"/>
        <v>7.0000000000000007E-2</v>
      </c>
      <c r="W235" s="282">
        <f t="shared" si="101"/>
        <v>7.0000000000000007E-2</v>
      </c>
      <c r="X235" s="282">
        <f t="shared" si="101"/>
        <v>7.0000000000000007E-2</v>
      </c>
      <c r="Y235" s="282">
        <f t="shared" si="101"/>
        <v>7.0000000000000007E-2</v>
      </c>
      <c r="Z235" s="282">
        <f t="shared" si="101"/>
        <v>7.0000000000000007E-2</v>
      </c>
      <c r="AA235" s="282">
        <f t="shared" si="101"/>
        <v>7.0000000000000007E-2</v>
      </c>
      <c r="AB235" s="282">
        <f t="shared" si="101"/>
        <v>7.0000000000000007E-2</v>
      </c>
      <c r="AC235" s="282">
        <f t="shared" si="101"/>
        <v>7.0000000000000007E-2</v>
      </c>
      <c r="AD235" s="282">
        <f t="shared" si="101"/>
        <v>7.0000000000000007E-2</v>
      </c>
      <c r="AE235" s="282">
        <f t="shared" si="101"/>
        <v>7.0000000000000007E-2</v>
      </c>
      <c r="AF235" s="282">
        <f t="shared" si="101"/>
        <v>7.0000000000000007E-2</v>
      </c>
      <c r="AG235" s="282">
        <f t="shared" si="101"/>
        <v>7.0000000000000007E-2</v>
      </c>
      <c r="AH235" s="282">
        <f t="shared" si="101"/>
        <v>7.0000000000000007E-2</v>
      </c>
      <c r="AI235" s="282">
        <f t="shared" si="101"/>
        <v>7.0000000000000007E-2</v>
      </c>
      <c r="AJ235" s="282">
        <f t="shared" si="101"/>
        <v>7.0000000000000007E-2</v>
      </c>
      <c r="AK235" s="282">
        <f t="shared" si="101"/>
        <v>7.0000000000000007E-2</v>
      </c>
      <c r="AL235" s="282">
        <f t="shared" si="101"/>
        <v>7.0000000000000007E-2</v>
      </c>
    </row>
    <row r="236" spans="1:38" s="237" customFormat="1" x14ac:dyDescent="0.2">
      <c r="A236" s="218"/>
      <c r="B236" s="246"/>
      <c r="C236" s="247"/>
      <c r="D236" s="21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c r="AA236" s="248"/>
      <c r="AB236" s="248"/>
      <c r="AC236" s="248"/>
      <c r="AD236" s="248"/>
      <c r="AE236" s="248"/>
      <c r="AF236" s="248"/>
      <c r="AG236" s="248"/>
      <c r="AH236" s="248"/>
      <c r="AI236" s="248"/>
      <c r="AJ236" s="248"/>
      <c r="AK236" s="248"/>
      <c r="AL236" s="248"/>
    </row>
    <row r="237" spans="1:38" s="237" customFormat="1" x14ac:dyDescent="0.2">
      <c r="A237" s="218"/>
      <c r="B237" s="246" t="s">
        <v>133</v>
      </c>
      <c r="C237" s="247"/>
      <c r="D237" s="21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c r="AA237" s="248"/>
      <c r="AB237" s="248"/>
      <c r="AC237" s="248"/>
      <c r="AD237" s="248"/>
      <c r="AE237" s="248"/>
      <c r="AF237" s="248"/>
      <c r="AG237" s="248"/>
      <c r="AH237" s="248"/>
      <c r="AI237" s="248"/>
      <c r="AJ237" s="248"/>
      <c r="AK237" s="248"/>
      <c r="AL237" s="248"/>
    </row>
    <row r="238" spans="1:38" x14ac:dyDescent="0.2">
      <c r="B238" s="226" t="s">
        <v>73</v>
      </c>
      <c r="C238" s="230" t="s">
        <v>37</v>
      </c>
      <c r="E238" s="256"/>
      <c r="F238" s="256"/>
      <c r="G238" s="256">
        <f>G116</f>
        <v>0.4</v>
      </c>
      <c r="H238" s="256">
        <f>H116</f>
        <v>0.70000000000000007</v>
      </c>
      <c r="I238" s="256">
        <f>I116</f>
        <v>0.2</v>
      </c>
      <c r="J238" s="256">
        <f>J116</f>
        <v>0.3</v>
      </c>
      <c r="K238" s="398">
        <f t="shared" ref="K238:AL238" si="102">K112*K239</f>
        <v>0.32925176470588235</v>
      </c>
      <c r="L238" s="398">
        <f t="shared" si="102"/>
        <v>0.32433581461675592</v>
      </c>
      <c r="M238" s="398">
        <f t="shared" si="102"/>
        <v>0.34571435294117642</v>
      </c>
      <c r="N238" s="398">
        <f t="shared" si="102"/>
        <v>0.34055260534759368</v>
      </c>
      <c r="O238" s="398">
        <f t="shared" si="102"/>
        <v>0.36300007058823525</v>
      </c>
      <c r="P238" s="398">
        <f t="shared" si="102"/>
        <v>0.35758023561497337</v>
      </c>
      <c r="Q238" s="398">
        <f t="shared" si="102"/>
        <v>0.38115007411764706</v>
      </c>
      <c r="R238" s="398">
        <f t="shared" si="102"/>
        <v>0.37545924739572212</v>
      </c>
      <c r="S238" s="398">
        <f t="shared" si="102"/>
        <v>0.40020757782352934</v>
      </c>
      <c r="T238" s="398">
        <f t="shared" si="102"/>
        <v>0.39423220976550821</v>
      </c>
      <c r="U238" s="398">
        <f t="shared" si="102"/>
        <v>0.42021795671470596</v>
      </c>
      <c r="V238" s="398">
        <f t="shared" si="102"/>
        <v>0.41394382025378368</v>
      </c>
      <c r="W238" s="398">
        <f t="shared" si="102"/>
        <v>0.44122885455044114</v>
      </c>
      <c r="X238" s="398">
        <f t="shared" si="102"/>
        <v>0.43464101126647287</v>
      </c>
      <c r="Y238" s="398">
        <f t="shared" si="102"/>
        <v>0.46329029727796317</v>
      </c>
      <c r="Z238" s="398">
        <f t="shared" si="102"/>
        <v>0.45637306182979653</v>
      </c>
      <c r="AA238" s="398">
        <f t="shared" si="102"/>
        <v>0.48645481214186137</v>
      </c>
      <c r="AB238" s="398">
        <f t="shared" si="102"/>
        <v>0.47919171492128643</v>
      </c>
      <c r="AC238" s="398">
        <f t="shared" si="102"/>
        <v>0.51077755274895453</v>
      </c>
      <c r="AD238" s="398">
        <f t="shared" si="102"/>
        <v>0.50315130066735081</v>
      </c>
      <c r="AE238" s="398">
        <f t="shared" si="102"/>
        <v>0.53631643038640231</v>
      </c>
      <c r="AF238" s="398">
        <f t="shared" si="102"/>
        <v>0.52830886570071822</v>
      </c>
      <c r="AG238" s="398">
        <f t="shared" si="102"/>
        <v>0.56313225190572247</v>
      </c>
      <c r="AH238" s="398">
        <f t="shared" si="102"/>
        <v>0.55472430898575442</v>
      </c>
      <c r="AI238" s="398">
        <f t="shared" si="102"/>
        <v>0.59128886450100848</v>
      </c>
      <c r="AJ238" s="398">
        <f t="shared" si="102"/>
        <v>0.58246052443504204</v>
      </c>
      <c r="AK238" s="398">
        <f t="shared" si="102"/>
        <v>0.62085330772605907</v>
      </c>
      <c r="AL238" s="398">
        <f t="shared" si="102"/>
        <v>0.61158355065679415</v>
      </c>
    </row>
    <row r="239" spans="1:38" x14ac:dyDescent="0.2">
      <c r="B239" s="413" t="s">
        <v>134</v>
      </c>
      <c r="C239" s="230" t="s">
        <v>39</v>
      </c>
      <c r="E239" s="300"/>
      <c r="F239" s="300"/>
      <c r="G239" s="300">
        <f>G116/G112</f>
        <v>6.2893081761006293E-3</v>
      </c>
      <c r="H239" s="300">
        <f>H116/H112</f>
        <v>9.8591549295774655E-3</v>
      </c>
      <c r="I239" s="300">
        <f>I116/I112</f>
        <v>2.9027576197387518E-3</v>
      </c>
      <c r="J239" s="300">
        <f>J116/J112</f>
        <v>3.9215686274509803E-3</v>
      </c>
      <c r="K239" s="282">
        <f t="shared" ref="K239:AL239" si="103">J239</f>
        <v>3.9215686274509803E-3</v>
      </c>
      <c r="L239" s="282">
        <f t="shared" si="103"/>
        <v>3.9215686274509803E-3</v>
      </c>
      <c r="M239" s="282">
        <f t="shared" si="103"/>
        <v>3.9215686274509803E-3</v>
      </c>
      <c r="N239" s="282">
        <f t="shared" si="103"/>
        <v>3.9215686274509803E-3</v>
      </c>
      <c r="O239" s="282">
        <f t="shared" si="103"/>
        <v>3.9215686274509803E-3</v>
      </c>
      <c r="P239" s="282">
        <f t="shared" si="103"/>
        <v>3.9215686274509803E-3</v>
      </c>
      <c r="Q239" s="282">
        <f t="shared" si="103"/>
        <v>3.9215686274509803E-3</v>
      </c>
      <c r="R239" s="282">
        <f t="shared" si="103"/>
        <v>3.9215686274509803E-3</v>
      </c>
      <c r="S239" s="282">
        <f t="shared" si="103"/>
        <v>3.9215686274509803E-3</v>
      </c>
      <c r="T239" s="282">
        <f t="shared" si="103"/>
        <v>3.9215686274509803E-3</v>
      </c>
      <c r="U239" s="282">
        <f t="shared" si="103"/>
        <v>3.9215686274509803E-3</v>
      </c>
      <c r="V239" s="282">
        <f t="shared" si="103"/>
        <v>3.9215686274509803E-3</v>
      </c>
      <c r="W239" s="282">
        <f t="shared" si="103"/>
        <v>3.9215686274509803E-3</v>
      </c>
      <c r="X239" s="282">
        <f t="shared" si="103"/>
        <v>3.9215686274509803E-3</v>
      </c>
      <c r="Y239" s="282">
        <f t="shared" si="103"/>
        <v>3.9215686274509803E-3</v>
      </c>
      <c r="Z239" s="282">
        <f t="shared" si="103"/>
        <v>3.9215686274509803E-3</v>
      </c>
      <c r="AA239" s="282">
        <f t="shared" si="103"/>
        <v>3.9215686274509803E-3</v>
      </c>
      <c r="AB239" s="282">
        <f t="shared" si="103"/>
        <v>3.9215686274509803E-3</v>
      </c>
      <c r="AC239" s="282">
        <f t="shared" si="103"/>
        <v>3.9215686274509803E-3</v>
      </c>
      <c r="AD239" s="282">
        <f t="shared" si="103"/>
        <v>3.9215686274509803E-3</v>
      </c>
      <c r="AE239" s="282">
        <f t="shared" si="103"/>
        <v>3.9215686274509803E-3</v>
      </c>
      <c r="AF239" s="282">
        <f t="shared" si="103"/>
        <v>3.9215686274509803E-3</v>
      </c>
      <c r="AG239" s="282">
        <f t="shared" si="103"/>
        <v>3.9215686274509803E-3</v>
      </c>
      <c r="AH239" s="282">
        <f t="shared" si="103"/>
        <v>3.9215686274509803E-3</v>
      </c>
      <c r="AI239" s="282">
        <f t="shared" si="103"/>
        <v>3.9215686274509803E-3</v>
      </c>
      <c r="AJ239" s="282">
        <f t="shared" si="103"/>
        <v>3.9215686274509803E-3</v>
      </c>
      <c r="AK239" s="282">
        <f t="shared" si="103"/>
        <v>3.9215686274509803E-3</v>
      </c>
      <c r="AL239" s="282">
        <f t="shared" si="103"/>
        <v>3.9215686274509803E-3</v>
      </c>
    </row>
    <row r="240" spans="1:38" s="237" customFormat="1" x14ac:dyDescent="0.2">
      <c r="A240" s="218"/>
      <c r="B240" s="246"/>
      <c r="C240" s="247"/>
      <c r="D240" s="21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c r="AA240" s="248"/>
      <c r="AB240" s="248"/>
      <c r="AC240" s="248"/>
      <c r="AD240" s="248"/>
      <c r="AE240" s="248"/>
      <c r="AF240" s="248"/>
      <c r="AG240" s="248"/>
      <c r="AH240" s="248"/>
      <c r="AI240" s="248"/>
      <c r="AJ240" s="248"/>
      <c r="AK240" s="248"/>
      <c r="AL240" s="248"/>
    </row>
    <row r="241" spans="1:38" s="237" customFormat="1" x14ac:dyDescent="0.2">
      <c r="A241" s="218"/>
      <c r="B241" s="246" t="s">
        <v>135</v>
      </c>
      <c r="C241" s="247"/>
      <c r="D241" s="21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c r="AA241" s="248"/>
      <c r="AB241" s="248"/>
      <c r="AC241" s="248"/>
      <c r="AD241" s="248"/>
      <c r="AE241" s="248"/>
      <c r="AF241" s="248"/>
      <c r="AG241" s="248"/>
      <c r="AH241" s="248"/>
      <c r="AI241" s="248"/>
      <c r="AJ241" s="248"/>
      <c r="AK241" s="248"/>
      <c r="AL241" s="248"/>
    </row>
    <row r="242" spans="1:38" s="237" customFormat="1" x14ac:dyDescent="0.2">
      <c r="A242" s="218"/>
      <c r="B242" s="226" t="s">
        <v>136</v>
      </c>
      <c r="C242" s="230" t="s">
        <v>37</v>
      </c>
      <c r="D242" s="218"/>
      <c r="E242" s="248"/>
      <c r="F242" s="248"/>
      <c r="G242" s="256">
        <f>G124</f>
        <v>2.4</v>
      </c>
      <c r="H242" s="256">
        <f>H124</f>
        <v>2.1999999999999997</v>
      </c>
      <c r="I242" s="256">
        <f>I124</f>
        <v>0</v>
      </c>
      <c r="J242" s="256">
        <f>J124</f>
        <v>0.1</v>
      </c>
      <c r="K242" s="398">
        <f t="shared" ref="K242:AL242" si="104">K123*K243</f>
        <v>4.9399970397649783E-2</v>
      </c>
      <c r="L242" s="398">
        <f t="shared" si="104"/>
        <v>-1.6005321992419959</v>
      </c>
      <c r="M242" s="398">
        <f t="shared" si="104"/>
        <v>-0.89984715106801794</v>
      </c>
      <c r="N242" s="398">
        <f t="shared" si="104"/>
        <v>-1.9025665472473121</v>
      </c>
      <c r="O242" s="398">
        <f t="shared" si="104"/>
        <v>-1.2153211316667929</v>
      </c>
      <c r="P242" s="398">
        <f t="shared" si="104"/>
        <v>-2.4879239413443082</v>
      </c>
      <c r="Q242" s="398">
        <f t="shared" si="104"/>
        <v>-1.860579934068598</v>
      </c>
      <c r="R242" s="398">
        <f t="shared" si="104"/>
        <v>-2.7306147814620254</v>
      </c>
      <c r="S242" s="398">
        <f t="shared" si="104"/>
        <v>-2.2522372292535349</v>
      </c>
      <c r="T242" s="398">
        <f t="shared" si="104"/>
        <v>-3.1559572685914241</v>
      </c>
      <c r="U242" s="398">
        <f t="shared" si="104"/>
        <v>-2.4833009855463315</v>
      </c>
      <c r="V242" s="398">
        <f t="shared" si="104"/>
        <v>-3.423601265723879</v>
      </c>
      <c r="W242" s="398">
        <f t="shared" si="104"/>
        <v>-2.7148835539985758</v>
      </c>
      <c r="X242" s="398">
        <f t="shared" si="104"/>
        <v>-3.6984597537016137</v>
      </c>
      <c r="Y242" s="398">
        <f t="shared" si="104"/>
        <v>-2.9495030099290465</v>
      </c>
      <c r="Z242" s="398">
        <f t="shared" si="104"/>
        <v>-3.9777147873365264</v>
      </c>
      <c r="AA242" s="398">
        <f t="shared" si="104"/>
        <v>-3.189261621841418</v>
      </c>
      <c r="AB242" s="398">
        <f t="shared" si="104"/>
        <v>-4.2651541708086231</v>
      </c>
      <c r="AC242" s="398">
        <f t="shared" si="104"/>
        <v>-3.4359792320716531</v>
      </c>
      <c r="AD242" s="398">
        <f t="shared" si="104"/>
        <v>-4.5619095160085008</v>
      </c>
      <c r="AE242" s="398">
        <f t="shared" si="104"/>
        <v>-3.691244005999164</v>
      </c>
      <c r="AF242" s="398">
        <f t="shared" si="104"/>
        <v>-4.8716009374881066</v>
      </c>
      <c r="AG242" s="398">
        <f t="shared" si="104"/>
        <v>-3.9564853964227531</v>
      </c>
      <c r="AH242" s="398">
        <f t="shared" si="104"/>
        <v>-5.1936887341410305</v>
      </c>
      <c r="AI242" s="398">
        <f t="shared" si="104"/>
        <v>-4.2329892334921961</v>
      </c>
      <c r="AJ242" s="398">
        <f t="shared" si="104"/>
        <v>-5.5302001621395478</v>
      </c>
      <c r="AK242" s="398">
        <f t="shared" si="104"/>
        <v>-4.5219512974463525</v>
      </c>
      <c r="AL242" s="398">
        <f t="shared" si="104"/>
        <v>-5.8831264972069137</v>
      </c>
    </row>
    <row r="243" spans="1:38" s="237" customFormat="1" x14ac:dyDescent="0.2">
      <c r="A243" s="218"/>
      <c r="B243" s="413" t="s">
        <v>137</v>
      </c>
      <c r="C243" s="230" t="s">
        <v>39</v>
      </c>
      <c r="D243" s="218"/>
      <c r="E243" s="248"/>
      <c r="F243" s="248"/>
      <c r="G243" s="300">
        <f>G124/G123</f>
        <v>-5.9999999999999991</v>
      </c>
      <c r="H243" s="300">
        <f>H124/H123</f>
        <v>3.6666666666666656</v>
      </c>
      <c r="I243" s="300">
        <f>I124/I123</f>
        <v>0</v>
      </c>
      <c r="J243" s="300">
        <f>J124/J123</f>
        <v>-5.5555555555555539E-2</v>
      </c>
      <c r="K243" s="408">
        <v>-0.3</v>
      </c>
      <c r="L243" s="408">
        <v>-0.3</v>
      </c>
      <c r="M243" s="408">
        <v>-0.3</v>
      </c>
      <c r="N243" s="408">
        <v>-0.3</v>
      </c>
      <c r="O243" s="408">
        <v>-0.3</v>
      </c>
      <c r="P243" s="408">
        <v>-0.3</v>
      </c>
      <c r="Q243" s="408">
        <v>-0.3</v>
      </c>
      <c r="R243" s="408">
        <v>-0.3</v>
      </c>
      <c r="S243" s="408">
        <v>-0.3</v>
      </c>
      <c r="T243" s="408">
        <v>-0.3</v>
      </c>
      <c r="U243" s="408">
        <v>-0.3</v>
      </c>
      <c r="V243" s="408">
        <v>-0.3</v>
      </c>
      <c r="W243" s="408">
        <v>-0.3</v>
      </c>
      <c r="X243" s="408">
        <v>-0.3</v>
      </c>
      <c r="Y243" s="408">
        <v>-0.3</v>
      </c>
      <c r="Z243" s="408">
        <v>-0.3</v>
      </c>
      <c r="AA243" s="408">
        <v>-0.3</v>
      </c>
      <c r="AB243" s="408">
        <v>-0.3</v>
      </c>
      <c r="AC243" s="408">
        <v>-0.3</v>
      </c>
      <c r="AD243" s="408">
        <v>-0.3</v>
      </c>
      <c r="AE243" s="408">
        <v>-0.3</v>
      </c>
      <c r="AF243" s="408">
        <v>-0.3</v>
      </c>
      <c r="AG243" s="408">
        <v>-0.3</v>
      </c>
      <c r="AH243" s="408">
        <v>-0.3</v>
      </c>
      <c r="AI243" s="408">
        <v>-0.3</v>
      </c>
      <c r="AJ243" s="408">
        <v>-0.3</v>
      </c>
      <c r="AK243" s="408">
        <v>-0.3</v>
      </c>
      <c r="AL243" s="408">
        <v>-0.3</v>
      </c>
    </row>
    <row r="244" spans="1:38" s="237" customFormat="1" x14ac:dyDescent="0.2">
      <c r="A244" s="218"/>
      <c r="B244" s="246"/>
      <c r="C244" s="247"/>
      <c r="D244" s="21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c r="AA244" s="248"/>
      <c r="AB244" s="248"/>
      <c r="AC244" s="248"/>
      <c r="AD244" s="248"/>
      <c r="AE244" s="248"/>
      <c r="AF244" s="248"/>
      <c r="AG244" s="248"/>
      <c r="AH244" s="248"/>
      <c r="AI244" s="248"/>
      <c r="AJ244" s="248"/>
      <c r="AK244" s="248"/>
      <c r="AL244" s="248"/>
    </row>
    <row r="245" spans="1:38" s="237" customFormat="1" x14ac:dyDescent="0.2">
      <c r="A245" s="218"/>
      <c r="B245" s="246"/>
      <c r="C245" s="247"/>
      <c r="D245" s="21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c r="AA245" s="248"/>
      <c r="AB245" s="248"/>
      <c r="AC245" s="248"/>
      <c r="AD245" s="248"/>
      <c r="AE245" s="248"/>
      <c r="AF245" s="248"/>
      <c r="AG245" s="248"/>
      <c r="AH245" s="248"/>
      <c r="AI245" s="248"/>
      <c r="AJ245" s="248"/>
      <c r="AK245" s="248"/>
      <c r="AL245" s="248"/>
    </row>
    <row r="246" spans="1:38" s="242" customFormat="1" x14ac:dyDescent="0.2">
      <c r="A246" s="242" t="s">
        <v>7</v>
      </c>
      <c r="B246" s="243" t="s">
        <v>138</v>
      </c>
      <c r="C246" s="244"/>
      <c r="E246" s="245"/>
      <c r="F246" s="245"/>
      <c r="G246" s="245"/>
      <c r="H246" s="245"/>
      <c r="I246" s="245"/>
      <c r="J246" s="245"/>
      <c r="K246" s="245"/>
      <c r="L246" s="245"/>
      <c r="M246" s="245"/>
      <c r="N246" s="245"/>
      <c r="O246" s="245"/>
      <c r="P246" s="245"/>
      <c r="Q246" s="245"/>
      <c r="R246" s="245"/>
      <c r="S246" s="245"/>
      <c r="T246" s="245"/>
      <c r="U246" s="245"/>
      <c r="V246" s="245"/>
      <c r="W246" s="245"/>
      <c r="X246" s="245"/>
      <c r="Y246" s="245"/>
      <c r="Z246" s="245"/>
      <c r="AA246" s="245"/>
      <c r="AB246" s="245"/>
      <c r="AC246" s="245"/>
      <c r="AD246" s="245"/>
      <c r="AE246" s="245"/>
      <c r="AF246" s="245"/>
      <c r="AG246" s="245"/>
      <c r="AH246" s="245"/>
      <c r="AI246" s="245"/>
      <c r="AJ246" s="245"/>
      <c r="AK246" s="245"/>
      <c r="AL246" s="245"/>
    </row>
    <row r="247" spans="1:38" outlineLevel="1" x14ac:dyDescent="0.2">
      <c r="A247" s="261"/>
      <c r="B247" s="261"/>
      <c r="C247" s="212"/>
      <c r="E247" s="213"/>
      <c r="F247" s="213"/>
      <c r="G247" s="213"/>
      <c r="H247" s="405"/>
      <c r="I247" s="405"/>
      <c r="J247" s="405"/>
      <c r="K247" s="405"/>
      <c r="L247" s="213"/>
      <c r="M247" s="213"/>
      <c r="N247" s="213"/>
      <c r="O247" s="213"/>
      <c r="P247" s="213"/>
      <c r="Q247" s="213"/>
      <c r="R247" s="213"/>
      <c r="S247" s="213"/>
      <c r="T247" s="213"/>
      <c r="U247" s="213"/>
      <c r="V247" s="213"/>
      <c r="W247" s="213"/>
      <c r="X247" s="213"/>
      <c r="Y247" s="213"/>
      <c r="Z247" s="213"/>
      <c r="AA247" s="213"/>
      <c r="AB247" s="213"/>
      <c r="AC247" s="213"/>
      <c r="AD247" s="213"/>
      <c r="AE247" s="213"/>
      <c r="AF247" s="213"/>
      <c r="AG247" s="213"/>
      <c r="AH247" s="213"/>
      <c r="AI247" s="213"/>
      <c r="AJ247" s="213"/>
      <c r="AK247" s="213"/>
      <c r="AL247" s="213"/>
    </row>
    <row r="248" spans="1:38" outlineLevel="1" x14ac:dyDescent="0.2">
      <c r="A248" s="262"/>
      <c r="B248" s="246" t="s">
        <v>138</v>
      </c>
      <c r="C248" s="247"/>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c r="AB248" s="249"/>
      <c r="AC248" s="249"/>
      <c r="AD248" s="249"/>
      <c r="AE248" s="249"/>
      <c r="AF248" s="249"/>
      <c r="AG248" s="249"/>
      <c r="AH248" s="249"/>
      <c r="AI248" s="249"/>
      <c r="AJ248" s="249"/>
      <c r="AK248" s="249"/>
      <c r="AL248" s="249"/>
    </row>
    <row r="249" spans="1:38" ht="11.25" customHeight="1" outlineLevel="1" x14ac:dyDescent="0.2">
      <c r="A249" s="262"/>
      <c r="B249" s="263" t="s">
        <v>75</v>
      </c>
      <c r="C249" s="205" t="s">
        <v>37</v>
      </c>
      <c r="D249" s="249"/>
      <c r="E249" s="256">
        <f t="shared" ref="E249:AL249" si="105">E119</f>
        <v>-1.7</v>
      </c>
      <c r="F249" s="256">
        <f t="shared" si="105"/>
        <v>1.9</v>
      </c>
      <c r="G249" s="256">
        <f t="shared" si="105"/>
        <v>1.7</v>
      </c>
      <c r="H249" s="256">
        <f t="shared" si="105"/>
        <v>5.5</v>
      </c>
      <c r="I249" s="256">
        <f t="shared" si="105"/>
        <v>-13.2</v>
      </c>
      <c r="J249" s="256">
        <f t="shared" si="105"/>
        <v>6.1</v>
      </c>
      <c r="K249" s="256">
        <f t="shared" si="105"/>
        <v>5.4973803647058688</v>
      </c>
      <c r="L249" s="256">
        <f t="shared" si="105"/>
        <v>10.974312621889503</v>
      </c>
      <c r="M249" s="256">
        <f t="shared" si="105"/>
        <v>8.6279154009411769</v>
      </c>
      <c r="N249" s="256">
        <f t="shared" si="105"/>
        <v>12.952452307583965</v>
      </c>
      <c r="O249" s="256">
        <f t="shared" si="105"/>
        <v>10.652694631588233</v>
      </c>
      <c r="P249" s="256">
        <f t="shared" si="105"/>
        <v>14.878359362683156</v>
      </c>
      <c r="Q249" s="256">
        <f t="shared" si="105"/>
        <v>12.795198300017649</v>
      </c>
      <c r="R249" s="256">
        <f t="shared" si="105"/>
        <v>15.628457330817334</v>
      </c>
      <c r="S249" s="256">
        <f t="shared" si="105"/>
        <v>14.002614742916016</v>
      </c>
      <c r="T249" s="256">
        <f t="shared" si="105"/>
        <v>16.969156271554311</v>
      </c>
      <c r="U249" s="256">
        <f t="shared" si="105"/>
        <v>14.709301842061837</v>
      </c>
      <c r="V249" s="256">
        <f t="shared" si="105"/>
        <v>17.824170447132033</v>
      </c>
      <c r="W249" s="256">
        <f t="shared" si="105"/>
        <v>15.451519987024902</v>
      </c>
      <c r="X249" s="256">
        <f t="shared" si="105"/>
        <v>18.722132022348632</v>
      </c>
      <c r="Y249" s="256">
        <f t="shared" si="105"/>
        <v>16.231051630821945</v>
      </c>
      <c r="Z249" s="256">
        <f t="shared" si="105"/>
        <v>19.665194267911858</v>
      </c>
      <c r="AA249" s="256">
        <f t="shared" si="105"/>
        <v>17.049768526142238</v>
      </c>
      <c r="AB249" s="256">
        <f t="shared" si="105"/>
        <v>20.65561829508664</v>
      </c>
      <c r="AC249" s="256">
        <f t="shared" si="105"/>
        <v>17.909636195641902</v>
      </c>
      <c r="AD249" s="256">
        <f t="shared" si="105"/>
        <v>21.695778453033526</v>
      </c>
      <c r="AE249" s="256">
        <f t="shared" si="105"/>
        <v>18.812718625912332</v>
      </c>
      <c r="AF249" s="256">
        <f t="shared" si="105"/>
        <v>22.788167996173492</v>
      </c>
      <c r="AG249" s="256">
        <f t="shared" si="105"/>
        <v>19.761183196310888</v>
      </c>
      <c r="AH249" s="256">
        <f t="shared" si="105"/>
        <v>23.935405035085182</v>
      </c>
      <c r="AI249" s="256">
        <f t="shared" si="105"/>
        <v>20.757305854402503</v>
      </c>
      <c r="AJ249" s="256">
        <f t="shared" si="105"/>
        <v>25.140238785115493</v>
      </c>
      <c r="AK249" s="256">
        <f t="shared" si="105"/>
        <v>21.803476550347014</v>
      </c>
      <c r="AL249" s="256">
        <f t="shared" si="105"/>
        <v>26.405556127595609</v>
      </c>
    </row>
    <row r="250" spans="1:38" ht="11.25" customHeight="1" outlineLevel="1" x14ac:dyDescent="0.2">
      <c r="A250" s="262"/>
      <c r="B250" s="263" t="s">
        <v>140</v>
      </c>
      <c r="C250" s="205" t="s">
        <v>37</v>
      </c>
      <c r="D250" s="249"/>
      <c r="E250" s="231">
        <f>0.1-0.5</f>
        <v>-0.4</v>
      </c>
      <c r="F250" s="231">
        <f>0.2-1.4-E250</f>
        <v>-0.79999999999999993</v>
      </c>
      <c r="G250" s="231">
        <f>0.1-0.7</f>
        <v>-0.6</v>
      </c>
      <c r="H250" s="231">
        <f>0.3-2.2-G250</f>
        <v>-1.3000000000000003</v>
      </c>
      <c r="I250" s="231">
        <f>1.2-1.9</f>
        <v>-0.7</v>
      </c>
      <c r="J250" s="231">
        <f>1.3-3.5-I250</f>
        <v>-1.5000000000000002</v>
      </c>
      <c r="K250" s="256">
        <f t="shared" ref="K250:AL250" si="106">K424</f>
        <v>-1.5750904109589039</v>
      </c>
      <c r="L250" s="256">
        <f t="shared" si="106"/>
        <v>-1.5564258848780241</v>
      </c>
      <c r="M250" s="256">
        <f t="shared" si="106"/>
        <v>-1.5575618225619328</v>
      </c>
      <c r="N250" s="256">
        <f t="shared" si="106"/>
        <v>-1.514690922707199</v>
      </c>
      <c r="O250" s="256">
        <f t="shared" si="106"/>
        <v>-1.4920628506815981</v>
      </c>
      <c r="P250" s="256">
        <f t="shared" si="106"/>
        <v>-1.4261052009309314</v>
      </c>
      <c r="Q250" s="256">
        <f t="shared" si="106"/>
        <v>-1.3989035912686907</v>
      </c>
      <c r="R250" s="256">
        <f t="shared" si="106"/>
        <v>-1.3156042690562595</v>
      </c>
      <c r="S250" s="256">
        <f t="shared" si="106"/>
        <v>-1.2783739398386036</v>
      </c>
      <c r="T250" s="256">
        <f t="shared" si="106"/>
        <v>-1.1894579561829177</v>
      </c>
      <c r="U250" s="256">
        <f t="shared" si="106"/>
        <v>-1.1425230946058291</v>
      </c>
      <c r="V250" s="256">
        <f t="shared" si="106"/>
        <v>-1.0573565577122239</v>
      </c>
      <c r="W250" s="256">
        <f t="shared" si="106"/>
        <v>-0.99810364298808651</v>
      </c>
      <c r="X250" s="256">
        <f t="shared" si="106"/>
        <v>-0.90486419513193761</v>
      </c>
      <c r="Y250" s="256">
        <f t="shared" si="106"/>
        <v>-0.84435285515138481</v>
      </c>
      <c r="Z250" s="256">
        <f t="shared" si="106"/>
        <v>-0.7486637331203827</v>
      </c>
      <c r="AA250" s="256">
        <f t="shared" si="106"/>
        <v>-0.68063793265766215</v>
      </c>
      <c r="AB250" s="256">
        <f t="shared" si="106"/>
        <v>-0.5823237463914801</v>
      </c>
      <c r="AC250" s="256">
        <f t="shared" si="106"/>
        <v>-0.50628530261657323</v>
      </c>
      <c r="AD250" s="256">
        <f t="shared" si="106"/>
        <v>-0.40741700581461648</v>
      </c>
      <c r="AE250" s="256">
        <f t="shared" si="106"/>
        <v>-0.32062982821704344</v>
      </c>
      <c r="AF250" s="256">
        <f t="shared" si="106"/>
        <v>-0.21656741686964187</v>
      </c>
      <c r="AG250" s="256">
        <f t="shared" si="106"/>
        <v>-0.12294590022027241</v>
      </c>
      <c r="AH250" s="256">
        <f t="shared" si="106"/>
        <v>-1.5767788089839252E-2</v>
      </c>
      <c r="AI250" s="256">
        <f t="shared" si="106"/>
        <v>8.746352452425965E-2</v>
      </c>
      <c r="AJ250" s="256">
        <f t="shared" si="106"/>
        <v>0.19791713756409424</v>
      </c>
      <c r="AK250" s="256">
        <f t="shared" si="106"/>
        <v>0.31133389650602061</v>
      </c>
      <c r="AL250" s="256">
        <f t="shared" si="106"/>
        <v>0.42757326615778513</v>
      </c>
    </row>
    <row r="251" spans="1:38" ht="11.25" customHeight="1" outlineLevel="1" x14ac:dyDescent="0.2">
      <c r="A251" s="262"/>
      <c r="B251" s="263" t="s">
        <v>141</v>
      </c>
      <c r="C251" s="205" t="s">
        <v>37</v>
      </c>
      <c r="D251" s="249"/>
      <c r="E251" s="231">
        <v>0</v>
      </c>
      <c r="F251" s="231">
        <v>0</v>
      </c>
      <c r="G251" s="231">
        <v>0</v>
      </c>
      <c r="H251" s="231">
        <v>0</v>
      </c>
      <c r="I251" s="231">
        <v>0</v>
      </c>
      <c r="J251" s="231">
        <v>0</v>
      </c>
      <c r="K251" s="256">
        <f t="shared" ref="K251:AL251" si="107">K124</f>
        <v>4.9399970397649783E-2</v>
      </c>
      <c r="L251" s="256">
        <f t="shared" si="107"/>
        <v>-1.6005321992419959</v>
      </c>
      <c r="M251" s="256">
        <f t="shared" si="107"/>
        <v>-0.89984715106801794</v>
      </c>
      <c r="N251" s="256">
        <f t="shared" si="107"/>
        <v>-1.9025665472473121</v>
      </c>
      <c r="O251" s="256">
        <f t="shared" si="107"/>
        <v>-1.2153211316667929</v>
      </c>
      <c r="P251" s="256">
        <f t="shared" si="107"/>
        <v>-2.4879239413443082</v>
      </c>
      <c r="Q251" s="256">
        <f t="shared" si="107"/>
        <v>-1.860579934068598</v>
      </c>
      <c r="R251" s="256">
        <f t="shared" si="107"/>
        <v>-2.7306147814620254</v>
      </c>
      <c r="S251" s="256">
        <f t="shared" si="107"/>
        <v>-2.2522372292535349</v>
      </c>
      <c r="T251" s="256">
        <f t="shared" si="107"/>
        <v>-3.1559572685914241</v>
      </c>
      <c r="U251" s="256">
        <f t="shared" si="107"/>
        <v>-2.4833009855463315</v>
      </c>
      <c r="V251" s="256">
        <f t="shared" si="107"/>
        <v>-3.423601265723879</v>
      </c>
      <c r="W251" s="256">
        <f t="shared" si="107"/>
        <v>-2.7148835539985758</v>
      </c>
      <c r="X251" s="256">
        <f t="shared" si="107"/>
        <v>-3.6984597537016137</v>
      </c>
      <c r="Y251" s="256">
        <f t="shared" si="107"/>
        <v>-2.9495030099290465</v>
      </c>
      <c r="Z251" s="256">
        <f t="shared" si="107"/>
        <v>-3.9777147873365264</v>
      </c>
      <c r="AA251" s="256">
        <f t="shared" si="107"/>
        <v>-3.189261621841418</v>
      </c>
      <c r="AB251" s="256">
        <f t="shared" si="107"/>
        <v>-4.2651541708086231</v>
      </c>
      <c r="AC251" s="256">
        <f t="shared" si="107"/>
        <v>-3.4359792320716531</v>
      </c>
      <c r="AD251" s="256">
        <f t="shared" si="107"/>
        <v>-4.5619095160085008</v>
      </c>
      <c r="AE251" s="256">
        <f t="shared" si="107"/>
        <v>-3.691244005999164</v>
      </c>
      <c r="AF251" s="256">
        <f t="shared" si="107"/>
        <v>-4.8716009374881066</v>
      </c>
      <c r="AG251" s="256">
        <f t="shared" si="107"/>
        <v>-3.9564853964227531</v>
      </c>
      <c r="AH251" s="256">
        <f t="shared" si="107"/>
        <v>-5.1936887341410305</v>
      </c>
      <c r="AI251" s="256">
        <f t="shared" si="107"/>
        <v>-4.2329892334921961</v>
      </c>
      <c r="AJ251" s="256">
        <f t="shared" si="107"/>
        <v>-5.5302001621395478</v>
      </c>
      <c r="AK251" s="256">
        <f t="shared" si="107"/>
        <v>-4.5219512974463525</v>
      </c>
      <c r="AL251" s="256">
        <f t="shared" si="107"/>
        <v>-5.8831264972069137</v>
      </c>
    </row>
    <row r="252" spans="1:38" ht="11.25" customHeight="1" outlineLevel="1" x14ac:dyDescent="0.2">
      <c r="A252" s="262"/>
      <c r="B252" s="263" t="s">
        <v>142</v>
      </c>
      <c r="C252" s="205" t="s">
        <v>37</v>
      </c>
      <c r="D252" s="249"/>
      <c r="E252" s="256">
        <f t="shared" ref="E252:AL252" si="108">E377</f>
        <v>0</v>
      </c>
      <c r="F252" s="256">
        <f t="shared" si="108"/>
        <v>0</v>
      </c>
      <c r="G252" s="256">
        <f t="shared" si="108"/>
        <v>0</v>
      </c>
      <c r="H252" s="256">
        <f t="shared" si="108"/>
        <v>3.9999999999999982</v>
      </c>
      <c r="I252" s="256">
        <f t="shared" si="108"/>
        <v>6.5000000000000036</v>
      </c>
      <c r="J252" s="256">
        <f t="shared" ref="J252" si="109">J377</f>
        <v>-1.3000000000000043</v>
      </c>
      <c r="K252" s="256">
        <f t="shared" si="108"/>
        <v>2.3693929411764714</v>
      </c>
      <c r="L252" s="256">
        <f t="shared" si="108"/>
        <v>-0.39819195721923961</v>
      </c>
      <c r="M252" s="256">
        <f t="shared" si="108"/>
        <v>1.7316616042780595</v>
      </c>
      <c r="N252" s="256">
        <f t="shared" si="108"/>
        <v>-0.4181015550802023</v>
      </c>
      <c r="O252" s="256">
        <f t="shared" si="108"/>
        <v>1.8182446844919689</v>
      </c>
      <c r="P252" s="256">
        <f t="shared" si="108"/>
        <v>-0.43900663283421437</v>
      </c>
      <c r="Q252" s="256">
        <f t="shared" si="108"/>
        <v>1.9091569187165689</v>
      </c>
      <c r="R252" s="256">
        <f t="shared" si="108"/>
        <v>-0.46095696447591905</v>
      </c>
      <c r="S252" s="256">
        <f t="shared" si="108"/>
        <v>2.0046147646523877</v>
      </c>
      <c r="T252" s="256">
        <f t="shared" si="108"/>
        <v>-0.48400481269971252</v>
      </c>
      <c r="U252" s="256">
        <f t="shared" si="108"/>
        <v>2.1048455028850164</v>
      </c>
      <c r="V252" s="256">
        <f t="shared" si="108"/>
        <v>-0.50820505333470578</v>
      </c>
      <c r="W252" s="256">
        <f t="shared" si="108"/>
        <v>2.2100877780292549</v>
      </c>
      <c r="X252" s="256">
        <f t="shared" si="108"/>
        <v>-0.5336153060014226</v>
      </c>
      <c r="Y252" s="256">
        <f t="shared" si="108"/>
        <v>2.3205921669307017</v>
      </c>
      <c r="Z252" s="256">
        <f t="shared" si="108"/>
        <v>-0.56029607130148662</v>
      </c>
      <c r="AA252" s="256">
        <f t="shared" si="108"/>
        <v>2.4366217752772457</v>
      </c>
      <c r="AB252" s="256">
        <f t="shared" si="108"/>
        <v>-0.58831087486657196</v>
      </c>
      <c r="AC252" s="256">
        <f t="shared" si="108"/>
        <v>2.558452864041115</v>
      </c>
      <c r="AD252" s="256">
        <f t="shared" si="108"/>
        <v>-0.61772641860989808</v>
      </c>
      <c r="AE252" s="256">
        <f t="shared" si="108"/>
        <v>2.6863755072431772</v>
      </c>
      <c r="AF252" s="256">
        <f t="shared" si="108"/>
        <v>-0.6486127395404182</v>
      </c>
      <c r="AG252" s="256">
        <f t="shared" si="108"/>
        <v>2.8206942826053449</v>
      </c>
      <c r="AH252" s="256">
        <f t="shared" si="108"/>
        <v>-0.68104337651741531</v>
      </c>
      <c r="AI252" s="256">
        <f t="shared" si="108"/>
        <v>2.9617289967355873</v>
      </c>
      <c r="AJ252" s="256">
        <f t="shared" si="108"/>
        <v>-0.71509554534328856</v>
      </c>
      <c r="AK252" s="256">
        <f t="shared" si="108"/>
        <v>3.1098154465723837</v>
      </c>
      <c r="AL252" s="256">
        <f t="shared" si="108"/>
        <v>-0.75085032261046791</v>
      </c>
    </row>
    <row r="253" spans="1:38" ht="11.25" customHeight="1" outlineLevel="1" x14ac:dyDescent="0.2">
      <c r="A253" s="262"/>
      <c r="B253" s="263" t="s">
        <v>101</v>
      </c>
      <c r="C253" s="205" t="s">
        <v>37</v>
      </c>
      <c r="D253" s="249"/>
      <c r="E253" s="232">
        <f t="shared" ref="E253:J253" si="110">E255-SUM(E249:E252)</f>
        <v>-8.7000000000000011</v>
      </c>
      <c r="F253" s="232">
        <f t="shared" si="110"/>
        <v>-3.6</v>
      </c>
      <c r="G253" s="232">
        <f t="shared" si="110"/>
        <v>-15.299999999999999</v>
      </c>
      <c r="H253" s="232">
        <f t="shared" si="110"/>
        <v>-13.299999999999999</v>
      </c>
      <c r="I253" s="232">
        <f t="shared" si="110"/>
        <v>-11.100000000000005</v>
      </c>
      <c r="J253" s="232">
        <f t="shared" si="110"/>
        <v>-10.499999999999995</v>
      </c>
      <c r="K253" s="607">
        <f>K147+(K165-K164)+K176</f>
        <v>-2</v>
      </c>
      <c r="L253" s="258">
        <f t="shared" ref="L253:AL253" si="111">L147+(L165-L164)</f>
        <v>0</v>
      </c>
      <c r="M253" s="258">
        <f t="shared" si="111"/>
        <v>0</v>
      </c>
      <c r="N253" s="258">
        <f t="shared" si="111"/>
        <v>0</v>
      </c>
      <c r="O253" s="258">
        <f t="shared" si="111"/>
        <v>0</v>
      </c>
      <c r="P253" s="258">
        <f t="shared" si="111"/>
        <v>0</v>
      </c>
      <c r="Q253" s="258">
        <f t="shared" si="111"/>
        <v>0</v>
      </c>
      <c r="R253" s="258">
        <f t="shared" si="111"/>
        <v>0</v>
      </c>
      <c r="S253" s="258">
        <f t="shared" si="111"/>
        <v>0</v>
      </c>
      <c r="T253" s="258">
        <f t="shared" si="111"/>
        <v>0</v>
      </c>
      <c r="U253" s="258">
        <f t="shared" si="111"/>
        <v>0</v>
      </c>
      <c r="V253" s="258">
        <f t="shared" si="111"/>
        <v>0</v>
      </c>
      <c r="W253" s="258">
        <f t="shared" si="111"/>
        <v>0</v>
      </c>
      <c r="X253" s="258">
        <f t="shared" si="111"/>
        <v>0</v>
      </c>
      <c r="Y253" s="258">
        <f t="shared" si="111"/>
        <v>0</v>
      </c>
      <c r="Z253" s="258">
        <f t="shared" si="111"/>
        <v>0</v>
      </c>
      <c r="AA253" s="258">
        <f t="shared" si="111"/>
        <v>0</v>
      </c>
      <c r="AB253" s="258">
        <f t="shared" si="111"/>
        <v>0</v>
      </c>
      <c r="AC253" s="258">
        <f t="shared" si="111"/>
        <v>0</v>
      </c>
      <c r="AD253" s="258">
        <f t="shared" si="111"/>
        <v>0</v>
      </c>
      <c r="AE253" s="258">
        <f t="shared" si="111"/>
        <v>0</v>
      </c>
      <c r="AF253" s="258">
        <f t="shared" si="111"/>
        <v>0</v>
      </c>
      <c r="AG253" s="258">
        <f t="shared" si="111"/>
        <v>0</v>
      </c>
      <c r="AH253" s="258">
        <f t="shared" si="111"/>
        <v>0</v>
      </c>
      <c r="AI253" s="258">
        <f t="shared" si="111"/>
        <v>0</v>
      </c>
      <c r="AJ253" s="258">
        <f t="shared" si="111"/>
        <v>0</v>
      </c>
      <c r="AK253" s="258">
        <f t="shared" si="111"/>
        <v>0</v>
      </c>
      <c r="AL253" s="258">
        <f t="shared" si="111"/>
        <v>0</v>
      </c>
    </row>
    <row r="254" spans="1:38" ht="11.25" customHeight="1" outlineLevel="1" x14ac:dyDescent="0.2">
      <c r="A254" s="262"/>
      <c r="B254" s="251" t="s">
        <v>67</v>
      </c>
      <c r="C254" s="252" t="s">
        <v>67</v>
      </c>
      <c r="D254" s="266"/>
      <c r="E254" s="254" t="s">
        <v>67</v>
      </c>
      <c r="F254" s="254" t="s">
        <v>67</v>
      </c>
      <c r="G254" s="254" t="s">
        <v>67</v>
      </c>
      <c r="H254" s="254" t="s">
        <v>67</v>
      </c>
      <c r="I254" s="254" t="s">
        <v>67</v>
      </c>
      <c r="J254" s="254" t="s">
        <v>67</v>
      </c>
      <c r="K254" s="254" t="s">
        <v>67</v>
      </c>
      <c r="L254" s="254" t="s">
        <v>67</v>
      </c>
      <c r="M254" s="254" t="s">
        <v>67</v>
      </c>
      <c r="N254" s="254" t="s">
        <v>67</v>
      </c>
      <c r="O254" s="254" t="s">
        <v>67</v>
      </c>
      <c r="P254" s="254" t="s">
        <v>67</v>
      </c>
      <c r="Q254" s="254" t="s">
        <v>67</v>
      </c>
      <c r="R254" s="254" t="s">
        <v>67</v>
      </c>
      <c r="S254" s="254" t="s">
        <v>67</v>
      </c>
      <c r="T254" s="254" t="s">
        <v>67</v>
      </c>
      <c r="U254" s="254" t="s">
        <v>67</v>
      </c>
      <c r="V254" s="254" t="s">
        <v>67</v>
      </c>
      <c r="W254" s="254" t="s">
        <v>67</v>
      </c>
      <c r="X254" s="254" t="s">
        <v>67</v>
      </c>
      <c r="Y254" s="254" t="s">
        <v>67</v>
      </c>
      <c r="Z254" s="254" t="s">
        <v>67</v>
      </c>
      <c r="AA254" s="254" t="s">
        <v>67</v>
      </c>
      <c r="AB254" s="254" t="s">
        <v>67</v>
      </c>
      <c r="AC254" s="254" t="s">
        <v>67</v>
      </c>
      <c r="AD254" s="254" t="s">
        <v>67</v>
      </c>
      <c r="AE254" s="254" t="s">
        <v>67</v>
      </c>
      <c r="AF254" s="254" t="s">
        <v>67</v>
      </c>
      <c r="AG254" s="254" t="s">
        <v>67</v>
      </c>
      <c r="AH254" s="254" t="s">
        <v>67</v>
      </c>
      <c r="AI254" s="254" t="s">
        <v>67</v>
      </c>
      <c r="AJ254" s="254" t="s">
        <v>67</v>
      </c>
      <c r="AK254" s="254" t="s">
        <v>67</v>
      </c>
      <c r="AL254" s="254" t="s">
        <v>67</v>
      </c>
    </row>
    <row r="255" spans="1:38" s="237" customFormat="1" ht="11.25" customHeight="1" outlineLevel="1" x14ac:dyDescent="0.2">
      <c r="A255" s="262"/>
      <c r="B255" s="239" t="s">
        <v>143</v>
      </c>
      <c r="C255" s="247" t="s">
        <v>37</v>
      </c>
      <c r="D255" s="255"/>
      <c r="E255" s="257">
        <v>-10.8</v>
      </c>
      <c r="F255" s="257">
        <f>-13.3-E255</f>
        <v>-2.5</v>
      </c>
      <c r="G255" s="257">
        <v>-14.2</v>
      </c>
      <c r="H255" s="257">
        <f>-19.3-G255</f>
        <v>-5.1000000000000014</v>
      </c>
      <c r="I255" s="257">
        <v>-18.5</v>
      </c>
      <c r="J255" s="257">
        <f>-25.7-I255</f>
        <v>-7.1999999999999993</v>
      </c>
      <c r="K255" s="267">
        <f t="shared" ref="K255:AL255" si="112">SUM(K249:K254)</f>
        <v>4.341082865321086</v>
      </c>
      <c r="L255" s="267">
        <f t="shared" si="112"/>
        <v>7.4191625805502435</v>
      </c>
      <c r="M255" s="267">
        <f t="shared" si="112"/>
        <v>7.9021680315892855</v>
      </c>
      <c r="N255" s="267">
        <f t="shared" si="112"/>
        <v>9.1170932825492503</v>
      </c>
      <c r="O255" s="267">
        <f t="shared" si="112"/>
        <v>9.7635553337318104</v>
      </c>
      <c r="P255" s="267">
        <f t="shared" si="112"/>
        <v>10.525323587573702</v>
      </c>
      <c r="Q255" s="267">
        <f t="shared" si="112"/>
        <v>11.444871693396928</v>
      </c>
      <c r="R255" s="267">
        <f t="shared" si="112"/>
        <v>11.121281315823131</v>
      </c>
      <c r="S255" s="267">
        <f t="shared" si="112"/>
        <v>12.476618338476266</v>
      </c>
      <c r="T255" s="267">
        <f t="shared" si="112"/>
        <v>12.139736234080258</v>
      </c>
      <c r="U255" s="267">
        <f t="shared" si="112"/>
        <v>13.188323264794693</v>
      </c>
      <c r="V255" s="267">
        <f t="shared" si="112"/>
        <v>12.835007570361224</v>
      </c>
      <c r="W255" s="267">
        <f t="shared" si="112"/>
        <v>13.948620568067495</v>
      </c>
      <c r="X255" s="267">
        <f t="shared" si="112"/>
        <v>13.585192767513657</v>
      </c>
      <c r="Y255" s="267">
        <f t="shared" si="112"/>
        <v>14.757787932672215</v>
      </c>
      <c r="Z255" s="267">
        <f t="shared" si="112"/>
        <v>14.378519676153463</v>
      </c>
      <c r="AA255" s="267">
        <f t="shared" si="112"/>
        <v>15.616490746920405</v>
      </c>
      <c r="AB255" s="267">
        <f t="shared" si="112"/>
        <v>15.219829503019964</v>
      </c>
      <c r="AC255" s="267">
        <f t="shared" si="112"/>
        <v>16.525824524994793</v>
      </c>
      <c r="AD255" s="267">
        <f t="shared" si="112"/>
        <v>16.108725512600511</v>
      </c>
      <c r="AE255" s="267">
        <f t="shared" si="112"/>
        <v>17.487220298939302</v>
      </c>
      <c r="AF255" s="267">
        <f t="shared" si="112"/>
        <v>17.051386902275325</v>
      </c>
      <c r="AG255" s="267">
        <f t="shared" si="112"/>
        <v>18.502446182273207</v>
      </c>
      <c r="AH255" s="267">
        <f t="shared" si="112"/>
        <v>18.044905136336897</v>
      </c>
      <c r="AI255" s="267">
        <f t="shared" si="112"/>
        <v>19.573509142170153</v>
      </c>
      <c r="AJ255" s="267">
        <f t="shared" si="112"/>
        <v>19.092860215196751</v>
      </c>
      <c r="AK255" s="267">
        <f t="shared" si="112"/>
        <v>20.702674595979065</v>
      </c>
      <c r="AL255" s="267">
        <f t="shared" si="112"/>
        <v>20.199152573936015</v>
      </c>
    </row>
    <row r="256" spans="1:38" s="595" customFormat="1" x14ac:dyDescent="0.2">
      <c r="B256" s="593" t="s">
        <v>45</v>
      </c>
      <c r="C256" s="594" t="s">
        <v>37</v>
      </c>
      <c r="E256" s="259">
        <f>SUMIFS(QTR!$E74:$CB74,QTR!$E$9:$CB$9,E$13)</f>
        <v>0</v>
      </c>
      <c r="F256" s="259">
        <f>SUMIFS(QTR!$E74:$CB74,QTR!$E$9:$CB$9,F$13)</f>
        <v>0</v>
      </c>
      <c r="G256" s="259">
        <f>SUMIFS(QTR!$E74:$CB74,QTR!$E$9:$CB$9,G$13)</f>
        <v>0</v>
      </c>
      <c r="H256" s="259">
        <f>SUMIFS(QTR!$E74:$CB74,QTR!$E$9:$CB$9,H$13)</f>
        <v>0</v>
      </c>
      <c r="I256" s="259">
        <f>SUMIFS(QTR!$E74:$CB74,QTR!$E$9:$CB$9,I$13)</f>
        <v>-15.438700000000001</v>
      </c>
      <c r="J256" s="259">
        <f>SUMIFS(QTR!$E74:$CB74,QTR!$E$9:$CB$9,J$13)</f>
        <v>-6.2995000000000001</v>
      </c>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c r="AH256" s="259"/>
      <c r="AI256" s="259"/>
      <c r="AJ256" s="259"/>
      <c r="AK256" s="259"/>
      <c r="AL256" s="259"/>
    </row>
    <row r="257" spans="1:38" outlineLevel="1" x14ac:dyDescent="0.2">
      <c r="A257" s="262"/>
      <c r="B257" s="246"/>
      <c r="C257" s="247"/>
      <c r="D257" s="249"/>
      <c r="E257" s="267"/>
      <c r="F257" s="267"/>
      <c r="G257" s="267"/>
      <c r="H257" s="267"/>
      <c r="I257" s="267"/>
      <c r="J257" s="267"/>
      <c r="K257" s="249"/>
      <c r="L257" s="249"/>
      <c r="M257" s="249"/>
      <c r="N257" s="249"/>
      <c r="O257" s="249"/>
      <c r="P257" s="249"/>
      <c r="Q257" s="249"/>
      <c r="R257" s="249"/>
      <c r="S257" s="249"/>
      <c r="T257" s="249"/>
      <c r="U257" s="249"/>
      <c r="V257" s="249"/>
      <c r="W257" s="249"/>
      <c r="X257" s="249"/>
      <c r="Y257" s="249"/>
      <c r="Z257" s="249"/>
      <c r="AA257" s="249"/>
      <c r="AB257" s="249"/>
      <c r="AC257" s="249"/>
      <c r="AD257" s="249"/>
      <c r="AE257" s="249"/>
      <c r="AF257" s="249"/>
      <c r="AG257" s="249"/>
      <c r="AH257" s="249"/>
      <c r="AI257" s="249"/>
      <c r="AJ257" s="249"/>
      <c r="AK257" s="249"/>
      <c r="AL257" s="249"/>
    </row>
    <row r="258" spans="1:38" ht="11.25" customHeight="1" outlineLevel="1" x14ac:dyDescent="0.2">
      <c r="A258" s="262"/>
      <c r="B258" s="263" t="s">
        <v>144</v>
      </c>
      <c r="C258" s="205" t="s">
        <v>37</v>
      </c>
      <c r="D258" s="249"/>
      <c r="E258" s="231">
        <v>0</v>
      </c>
      <c r="F258" s="231">
        <v>0</v>
      </c>
      <c r="G258" s="231">
        <v>0</v>
      </c>
      <c r="H258" s="231">
        <f>-0.4-G258</f>
        <v>-0.4</v>
      </c>
      <c r="I258" s="231">
        <v>-0.2</v>
      </c>
      <c r="J258" s="231">
        <f>-0.3-I258</f>
        <v>-9.9999999999999978E-2</v>
      </c>
      <c r="K258" s="256">
        <f t="shared" ref="K258:AL258" si="113">K345</f>
        <v>0</v>
      </c>
      <c r="L258" s="256">
        <f t="shared" si="113"/>
        <v>0</v>
      </c>
      <c r="M258" s="256">
        <f t="shared" si="113"/>
        <v>0</v>
      </c>
      <c r="N258" s="256">
        <f t="shared" si="113"/>
        <v>0</v>
      </c>
      <c r="O258" s="256">
        <f t="shared" si="113"/>
        <v>0</v>
      </c>
      <c r="P258" s="256">
        <f t="shared" si="113"/>
        <v>0</v>
      </c>
      <c r="Q258" s="256">
        <f t="shared" si="113"/>
        <v>0</v>
      </c>
      <c r="R258" s="256">
        <f t="shared" si="113"/>
        <v>0</v>
      </c>
      <c r="S258" s="256">
        <f t="shared" si="113"/>
        <v>0</v>
      </c>
      <c r="T258" s="256">
        <f t="shared" si="113"/>
        <v>0</v>
      </c>
      <c r="U258" s="256">
        <f t="shared" si="113"/>
        <v>0</v>
      </c>
      <c r="V258" s="256">
        <f t="shared" si="113"/>
        <v>0</v>
      </c>
      <c r="W258" s="256">
        <f t="shared" si="113"/>
        <v>0</v>
      </c>
      <c r="X258" s="256">
        <f t="shared" si="113"/>
        <v>0</v>
      </c>
      <c r="Y258" s="256">
        <f t="shared" si="113"/>
        <v>0</v>
      </c>
      <c r="Z258" s="256">
        <f t="shared" si="113"/>
        <v>0</v>
      </c>
      <c r="AA258" s="256">
        <f t="shared" si="113"/>
        <v>0</v>
      </c>
      <c r="AB258" s="256">
        <f t="shared" si="113"/>
        <v>0</v>
      </c>
      <c r="AC258" s="256">
        <f t="shared" si="113"/>
        <v>0</v>
      </c>
      <c r="AD258" s="256">
        <f t="shared" si="113"/>
        <v>0</v>
      </c>
      <c r="AE258" s="256">
        <f t="shared" si="113"/>
        <v>0</v>
      </c>
      <c r="AF258" s="256">
        <f t="shared" si="113"/>
        <v>0</v>
      </c>
      <c r="AG258" s="256">
        <f t="shared" si="113"/>
        <v>0</v>
      </c>
      <c r="AH258" s="256">
        <f t="shared" si="113"/>
        <v>0</v>
      </c>
      <c r="AI258" s="256">
        <f t="shared" si="113"/>
        <v>0</v>
      </c>
      <c r="AJ258" s="256">
        <f t="shared" si="113"/>
        <v>0</v>
      </c>
      <c r="AK258" s="256">
        <f t="shared" si="113"/>
        <v>0</v>
      </c>
      <c r="AL258" s="256">
        <f t="shared" si="113"/>
        <v>0</v>
      </c>
    </row>
    <row r="259" spans="1:38" outlineLevel="1" x14ac:dyDescent="0.2">
      <c r="A259" s="262"/>
      <c r="B259" s="263" t="s">
        <v>145</v>
      </c>
      <c r="C259" s="205" t="s">
        <v>37</v>
      </c>
      <c r="D259" s="249"/>
      <c r="E259" s="231">
        <v>-2.9</v>
      </c>
      <c r="F259" s="231">
        <f>-3.3-E259</f>
        <v>-0.39999999999999991</v>
      </c>
      <c r="G259" s="231">
        <v>-2</v>
      </c>
      <c r="H259" s="231">
        <f>-5.7-G259</f>
        <v>-3.7</v>
      </c>
      <c r="I259" s="231">
        <v>-4.0999999999999996</v>
      </c>
      <c r="J259" s="231">
        <f>-8.7-I259</f>
        <v>-4.5999999999999996</v>
      </c>
      <c r="K259" s="256">
        <f t="shared" ref="K259:AL259" si="114">-K353</f>
        <v>-5.0485270588235283</v>
      </c>
      <c r="L259" s="256">
        <f t="shared" si="114"/>
        <v>-4.9731491574569233</v>
      </c>
      <c r="M259" s="256">
        <f t="shared" si="114"/>
        <v>-5.3009534117647048</v>
      </c>
      <c r="N259" s="256">
        <f t="shared" si="114"/>
        <v>-5.2218066153297693</v>
      </c>
      <c r="O259" s="256">
        <f t="shared" si="114"/>
        <v>-5.5660010823529404</v>
      </c>
      <c r="P259" s="256">
        <f t="shared" si="114"/>
        <v>-5.4828969460962576</v>
      </c>
      <c r="Q259" s="256">
        <f t="shared" si="114"/>
        <v>-5.3456297895000002</v>
      </c>
      <c r="R259" s="256">
        <f t="shared" si="114"/>
        <v>-5.265815944725003</v>
      </c>
      <c r="S259" s="256">
        <f t="shared" si="114"/>
        <v>-5.6129112789749991</v>
      </c>
      <c r="T259" s="256">
        <f t="shared" si="114"/>
        <v>-5.529106741961253</v>
      </c>
      <c r="U259" s="256">
        <f t="shared" si="114"/>
        <v>-5.8935568429237515</v>
      </c>
      <c r="V259" s="256">
        <f t="shared" si="114"/>
        <v>-5.8055620790593165</v>
      </c>
      <c r="W259" s="256">
        <f t="shared" si="114"/>
        <v>-6.1882346850699372</v>
      </c>
      <c r="X259" s="256">
        <f t="shared" si="114"/>
        <v>-6.0958401830122826</v>
      </c>
      <c r="Y259" s="256">
        <f t="shared" si="114"/>
        <v>-6.4976464193234333</v>
      </c>
      <c r="Z259" s="256">
        <f t="shared" si="114"/>
        <v>-6.4006321921628961</v>
      </c>
      <c r="AA259" s="256">
        <f t="shared" si="114"/>
        <v>-6.8225287402896058</v>
      </c>
      <c r="AB259" s="256">
        <f t="shared" si="114"/>
        <v>-6.7206638017710425</v>
      </c>
      <c r="AC259" s="256">
        <f t="shared" si="114"/>
        <v>-7.1636551773040873</v>
      </c>
      <c r="AD259" s="256">
        <f t="shared" si="114"/>
        <v>-7.056696991859595</v>
      </c>
      <c r="AE259" s="256">
        <f t="shared" si="114"/>
        <v>-7.5218379361692929</v>
      </c>
      <c r="AF259" s="256">
        <f t="shared" si="114"/>
        <v>-7.4095318414525728</v>
      </c>
      <c r="AG259" s="256">
        <f t="shared" si="114"/>
        <v>-7.8979298329777574</v>
      </c>
      <c r="AH259" s="256">
        <f t="shared" si="114"/>
        <v>-7.7800084335252055</v>
      </c>
      <c r="AI259" s="256">
        <f t="shared" si="114"/>
        <v>-8.2928263246266454</v>
      </c>
      <c r="AJ259" s="256">
        <f t="shared" si="114"/>
        <v>-8.169008855201465</v>
      </c>
      <c r="AK259" s="256">
        <f t="shared" si="114"/>
        <v>-8.7074676408579776</v>
      </c>
      <c r="AL259" s="256">
        <f t="shared" si="114"/>
        <v>-8.5774592979615374</v>
      </c>
    </row>
    <row r="260" spans="1:38" ht="11.25" customHeight="1" outlineLevel="1" x14ac:dyDescent="0.2">
      <c r="A260" s="262"/>
      <c r="B260" s="263" t="s">
        <v>146</v>
      </c>
      <c r="C260" s="205" t="s">
        <v>37</v>
      </c>
      <c r="D260" s="249"/>
      <c r="E260" s="231">
        <v>0</v>
      </c>
      <c r="F260" s="231">
        <v>0</v>
      </c>
      <c r="G260" s="231">
        <v>0</v>
      </c>
      <c r="H260" s="231">
        <v>0</v>
      </c>
      <c r="I260" s="231">
        <v>0</v>
      </c>
      <c r="J260" s="231">
        <v>0</v>
      </c>
      <c r="K260" s="250">
        <v>0</v>
      </c>
      <c r="L260" s="250">
        <v>0</v>
      </c>
      <c r="M260" s="250">
        <v>0</v>
      </c>
      <c r="N260" s="250">
        <v>0</v>
      </c>
      <c r="O260" s="250">
        <v>0</v>
      </c>
      <c r="P260" s="250">
        <v>0</v>
      </c>
      <c r="Q260" s="250">
        <v>0</v>
      </c>
      <c r="R260" s="250">
        <v>0</v>
      </c>
      <c r="S260" s="250">
        <v>0</v>
      </c>
      <c r="T260" s="250">
        <v>0</v>
      </c>
      <c r="U260" s="250">
        <v>0</v>
      </c>
      <c r="V260" s="250">
        <v>0</v>
      </c>
      <c r="W260" s="250">
        <v>0</v>
      </c>
      <c r="X260" s="250">
        <v>0</v>
      </c>
      <c r="Y260" s="250">
        <v>0</v>
      </c>
      <c r="Z260" s="250">
        <v>0</v>
      </c>
      <c r="AA260" s="250">
        <v>0</v>
      </c>
      <c r="AB260" s="250">
        <v>0</v>
      </c>
      <c r="AC260" s="250">
        <v>0</v>
      </c>
      <c r="AD260" s="250">
        <v>0</v>
      </c>
      <c r="AE260" s="250">
        <v>0</v>
      </c>
      <c r="AF260" s="250">
        <v>0</v>
      </c>
      <c r="AG260" s="250">
        <v>0</v>
      </c>
      <c r="AH260" s="250">
        <v>0</v>
      </c>
      <c r="AI260" s="250">
        <v>0</v>
      </c>
      <c r="AJ260" s="250">
        <v>0</v>
      </c>
      <c r="AK260" s="250">
        <v>0</v>
      </c>
      <c r="AL260" s="250">
        <v>0</v>
      </c>
    </row>
    <row r="261" spans="1:38" ht="11.25" customHeight="1" outlineLevel="1" x14ac:dyDescent="0.2">
      <c r="A261" s="262"/>
      <c r="B261" s="263" t="s">
        <v>147</v>
      </c>
      <c r="C261" s="205" t="s">
        <v>37</v>
      </c>
      <c r="D261" s="249"/>
      <c r="E261" s="231">
        <v>0</v>
      </c>
      <c r="F261" s="231">
        <v>0</v>
      </c>
      <c r="G261" s="231">
        <v>0</v>
      </c>
      <c r="H261" s="231">
        <v>0.4</v>
      </c>
      <c r="I261" s="231">
        <v>0</v>
      </c>
      <c r="J261" s="231">
        <v>0</v>
      </c>
      <c r="K261" s="250">
        <v>0</v>
      </c>
      <c r="L261" s="250">
        <v>0</v>
      </c>
      <c r="M261" s="250">
        <v>0</v>
      </c>
      <c r="N261" s="250">
        <v>0</v>
      </c>
      <c r="O261" s="250">
        <v>0</v>
      </c>
      <c r="P261" s="250">
        <v>0</v>
      </c>
      <c r="Q261" s="250">
        <v>0</v>
      </c>
      <c r="R261" s="250">
        <v>0</v>
      </c>
      <c r="S261" s="250">
        <v>0</v>
      </c>
      <c r="T261" s="250">
        <v>0</v>
      </c>
      <c r="U261" s="250">
        <v>0</v>
      </c>
      <c r="V261" s="250">
        <v>0</v>
      </c>
      <c r="W261" s="250">
        <v>0</v>
      </c>
      <c r="X261" s="250">
        <v>0</v>
      </c>
      <c r="Y261" s="250">
        <v>0</v>
      </c>
      <c r="Z261" s="250">
        <v>0</v>
      </c>
      <c r="AA261" s="250">
        <v>0</v>
      </c>
      <c r="AB261" s="250">
        <v>0</v>
      </c>
      <c r="AC261" s="250">
        <v>0</v>
      </c>
      <c r="AD261" s="250">
        <v>0</v>
      </c>
      <c r="AE261" s="250">
        <v>0</v>
      </c>
      <c r="AF261" s="250">
        <v>0</v>
      </c>
      <c r="AG261" s="250">
        <v>0</v>
      </c>
      <c r="AH261" s="250">
        <v>0</v>
      </c>
      <c r="AI261" s="250">
        <v>0</v>
      </c>
      <c r="AJ261" s="250">
        <v>0</v>
      </c>
      <c r="AK261" s="250">
        <v>0</v>
      </c>
      <c r="AL261" s="250">
        <v>0</v>
      </c>
    </row>
    <row r="262" spans="1:38" ht="11.25" customHeight="1" outlineLevel="1" x14ac:dyDescent="0.2">
      <c r="A262" s="262"/>
      <c r="B262" s="263" t="s">
        <v>148</v>
      </c>
      <c r="D262" s="249"/>
      <c r="E262" s="231">
        <v>0</v>
      </c>
      <c r="F262" s="231">
        <v>0</v>
      </c>
      <c r="G262" s="231">
        <v>0</v>
      </c>
      <c r="H262" s="231">
        <v>-72.5</v>
      </c>
      <c r="I262" s="231">
        <v>0</v>
      </c>
      <c r="J262" s="231">
        <v>0</v>
      </c>
      <c r="K262" s="250">
        <v>0</v>
      </c>
      <c r="L262" s="250">
        <v>0</v>
      </c>
      <c r="M262" s="250">
        <v>0</v>
      </c>
      <c r="N262" s="250">
        <v>0</v>
      </c>
      <c r="O262" s="250">
        <v>0</v>
      </c>
      <c r="P262" s="250">
        <v>0</v>
      </c>
      <c r="Q262" s="250">
        <v>0</v>
      </c>
      <c r="R262" s="250">
        <v>0</v>
      </c>
      <c r="S262" s="250">
        <v>0</v>
      </c>
      <c r="T262" s="250">
        <v>0</v>
      </c>
      <c r="U262" s="250">
        <v>0</v>
      </c>
      <c r="V262" s="250">
        <v>0</v>
      </c>
      <c r="W262" s="250">
        <v>0</v>
      </c>
      <c r="X262" s="250">
        <v>0</v>
      </c>
      <c r="Y262" s="250">
        <v>0</v>
      </c>
      <c r="Z262" s="250">
        <v>0</v>
      </c>
      <c r="AA262" s="250">
        <v>0</v>
      </c>
      <c r="AB262" s="250">
        <v>0</v>
      </c>
      <c r="AC262" s="250">
        <v>0</v>
      </c>
      <c r="AD262" s="250">
        <v>0</v>
      </c>
      <c r="AE262" s="250">
        <v>0</v>
      </c>
      <c r="AF262" s="250">
        <v>0</v>
      </c>
      <c r="AG262" s="250">
        <v>0</v>
      </c>
      <c r="AH262" s="250">
        <v>0</v>
      </c>
      <c r="AI262" s="250">
        <v>0</v>
      </c>
      <c r="AJ262" s="250">
        <v>0</v>
      </c>
      <c r="AK262" s="250">
        <v>0</v>
      </c>
      <c r="AL262" s="250">
        <v>0</v>
      </c>
    </row>
    <row r="263" spans="1:38" ht="11.25" customHeight="1" outlineLevel="1" x14ac:dyDescent="0.2">
      <c r="A263" s="262"/>
      <c r="B263" s="263" t="s">
        <v>101</v>
      </c>
      <c r="C263" s="205" t="s">
        <v>37</v>
      </c>
      <c r="D263" s="249"/>
      <c r="E263" s="231">
        <v>0</v>
      </c>
      <c r="F263" s="231">
        <v>0</v>
      </c>
      <c r="G263" s="231">
        <f>9.9-2.9</f>
        <v>7</v>
      </c>
      <c r="H263" s="231">
        <f>8.4-G263</f>
        <v>1.4000000000000004</v>
      </c>
      <c r="I263" s="231">
        <v>0</v>
      </c>
      <c r="J263" s="231">
        <v>0</v>
      </c>
      <c r="K263" s="250">
        <v>0</v>
      </c>
      <c r="L263" s="250">
        <v>0</v>
      </c>
      <c r="M263" s="250">
        <v>0</v>
      </c>
      <c r="N263" s="250">
        <v>0</v>
      </c>
      <c r="O263" s="250">
        <v>0</v>
      </c>
      <c r="P263" s="250">
        <v>0</v>
      </c>
      <c r="Q263" s="250">
        <v>0</v>
      </c>
      <c r="R263" s="250">
        <v>0</v>
      </c>
      <c r="S263" s="250">
        <v>0</v>
      </c>
      <c r="T263" s="250">
        <v>0</v>
      </c>
      <c r="U263" s="250">
        <v>0</v>
      </c>
      <c r="V263" s="250">
        <v>0</v>
      </c>
      <c r="W263" s="250">
        <v>0</v>
      </c>
      <c r="X263" s="250">
        <v>0</v>
      </c>
      <c r="Y263" s="250">
        <v>0</v>
      </c>
      <c r="Z263" s="250">
        <v>0</v>
      </c>
      <c r="AA263" s="250">
        <v>0</v>
      </c>
      <c r="AB263" s="250">
        <v>0</v>
      </c>
      <c r="AC263" s="250">
        <v>0</v>
      </c>
      <c r="AD263" s="250">
        <v>0</v>
      </c>
      <c r="AE263" s="250">
        <v>0</v>
      </c>
      <c r="AF263" s="250">
        <v>0</v>
      </c>
      <c r="AG263" s="250">
        <v>0</v>
      </c>
      <c r="AH263" s="250">
        <v>0</v>
      </c>
      <c r="AI263" s="250">
        <v>0</v>
      </c>
      <c r="AJ263" s="250">
        <v>0</v>
      </c>
      <c r="AK263" s="250">
        <v>0</v>
      </c>
      <c r="AL263" s="250">
        <v>0</v>
      </c>
    </row>
    <row r="264" spans="1:38" ht="11.25" customHeight="1" outlineLevel="1" x14ac:dyDescent="0.2">
      <c r="A264" s="262"/>
      <c r="B264" s="251" t="s">
        <v>67</v>
      </c>
      <c r="C264" s="252" t="s">
        <v>67</v>
      </c>
      <c r="D264" s="266"/>
      <c r="E264" s="254" t="s">
        <v>67</v>
      </c>
      <c r="F264" s="254" t="s">
        <v>67</v>
      </c>
      <c r="G264" s="254" t="s">
        <v>67</v>
      </c>
      <c r="H264" s="254" t="s">
        <v>67</v>
      </c>
      <c r="I264" s="254" t="s">
        <v>67</v>
      </c>
      <c r="J264" s="254" t="s">
        <v>67</v>
      </c>
      <c r="K264" s="254" t="s">
        <v>67</v>
      </c>
      <c r="L264" s="254" t="s">
        <v>67</v>
      </c>
      <c r="M264" s="254" t="s">
        <v>67</v>
      </c>
      <c r="N264" s="254" t="s">
        <v>67</v>
      </c>
      <c r="O264" s="254" t="s">
        <v>67</v>
      </c>
      <c r="P264" s="254" t="s">
        <v>67</v>
      </c>
      <c r="Q264" s="254" t="s">
        <v>67</v>
      </c>
      <c r="R264" s="254" t="s">
        <v>67</v>
      </c>
      <c r="S264" s="254" t="s">
        <v>67</v>
      </c>
      <c r="T264" s="254" t="s">
        <v>67</v>
      </c>
      <c r="U264" s="254" t="s">
        <v>67</v>
      </c>
      <c r="V264" s="254" t="s">
        <v>67</v>
      </c>
      <c r="W264" s="254" t="s">
        <v>67</v>
      </c>
      <c r="X264" s="254" t="s">
        <v>67</v>
      </c>
      <c r="Y264" s="254" t="s">
        <v>67</v>
      </c>
      <c r="Z264" s="254" t="s">
        <v>67</v>
      </c>
      <c r="AA264" s="254" t="s">
        <v>67</v>
      </c>
      <c r="AB264" s="254" t="s">
        <v>67</v>
      </c>
      <c r="AC264" s="254" t="s">
        <v>67</v>
      </c>
      <c r="AD264" s="254" t="s">
        <v>67</v>
      </c>
      <c r="AE264" s="254" t="s">
        <v>67</v>
      </c>
      <c r="AF264" s="254" t="s">
        <v>67</v>
      </c>
      <c r="AG264" s="254" t="s">
        <v>67</v>
      </c>
      <c r="AH264" s="254" t="s">
        <v>67</v>
      </c>
      <c r="AI264" s="254" t="s">
        <v>67</v>
      </c>
      <c r="AJ264" s="254" t="s">
        <v>67</v>
      </c>
      <c r="AK264" s="254" t="s">
        <v>67</v>
      </c>
      <c r="AL264" s="254" t="s">
        <v>67</v>
      </c>
    </row>
    <row r="265" spans="1:38" s="237" customFormat="1" ht="11.25" customHeight="1" outlineLevel="1" x14ac:dyDescent="0.2">
      <c r="A265" s="262"/>
      <c r="B265" s="239" t="s">
        <v>149</v>
      </c>
      <c r="C265" s="247" t="s">
        <v>37</v>
      </c>
      <c r="D265" s="255"/>
      <c r="E265" s="248">
        <f t="shared" ref="E265:AL265" si="115">SUM(E258:E264)</f>
        <v>-2.9</v>
      </c>
      <c r="F265" s="248">
        <f t="shared" si="115"/>
        <v>-0.39999999999999991</v>
      </c>
      <c r="G265" s="248">
        <f t="shared" si="115"/>
        <v>5</v>
      </c>
      <c r="H265" s="248">
        <f t="shared" si="115"/>
        <v>-74.8</v>
      </c>
      <c r="I265" s="248">
        <f t="shared" si="115"/>
        <v>-4.3</v>
      </c>
      <c r="J265" s="248">
        <f t="shared" ref="J265" si="116">SUM(J258:J264)</f>
        <v>-4.6999999999999993</v>
      </c>
      <c r="K265" s="248">
        <f t="shared" si="115"/>
        <v>-5.0485270588235283</v>
      </c>
      <c r="L265" s="248">
        <f t="shared" si="115"/>
        <v>-4.9731491574569233</v>
      </c>
      <c r="M265" s="248">
        <f t="shared" si="115"/>
        <v>-5.3009534117647048</v>
      </c>
      <c r="N265" s="248">
        <f t="shared" si="115"/>
        <v>-5.2218066153297693</v>
      </c>
      <c r="O265" s="248">
        <f t="shared" si="115"/>
        <v>-5.5660010823529404</v>
      </c>
      <c r="P265" s="248">
        <f t="shared" si="115"/>
        <v>-5.4828969460962576</v>
      </c>
      <c r="Q265" s="248">
        <f t="shared" si="115"/>
        <v>-5.3456297895000002</v>
      </c>
      <c r="R265" s="248">
        <f t="shared" si="115"/>
        <v>-5.265815944725003</v>
      </c>
      <c r="S265" s="248">
        <f t="shared" si="115"/>
        <v>-5.6129112789749991</v>
      </c>
      <c r="T265" s="248">
        <f t="shared" si="115"/>
        <v>-5.529106741961253</v>
      </c>
      <c r="U265" s="248">
        <f t="shared" si="115"/>
        <v>-5.8935568429237515</v>
      </c>
      <c r="V265" s="248">
        <f t="shared" si="115"/>
        <v>-5.8055620790593165</v>
      </c>
      <c r="W265" s="248">
        <f t="shared" si="115"/>
        <v>-6.1882346850699372</v>
      </c>
      <c r="X265" s="248">
        <f t="shared" si="115"/>
        <v>-6.0958401830122826</v>
      </c>
      <c r="Y265" s="248">
        <f t="shared" si="115"/>
        <v>-6.4976464193234333</v>
      </c>
      <c r="Z265" s="248">
        <f t="shared" si="115"/>
        <v>-6.4006321921628961</v>
      </c>
      <c r="AA265" s="248">
        <f t="shared" si="115"/>
        <v>-6.8225287402896058</v>
      </c>
      <c r="AB265" s="248">
        <f t="shared" si="115"/>
        <v>-6.7206638017710425</v>
      </c>
      <c r="AC265" s="248">
        <f t="shared" si="115"/>
        <v>-7.1636551773040873</v>
      </c>
      <c r="AD265" s="248">
        <f t="shared" si="115"/>
        <v>-7.056696991859595</v>
      </c>
      <c r="AE265" s="248">
        <f t="shared" si="115"/>
        <v>-7.5218379361692929</v>
      </c>
      <c r="AF265" s="248">
        <f t="shared" si="115"/>
        <v>-7.4095318414525728</v>
      </c>
      <c r="AG265" s="248">
        <f t="shared" si="115"/>
        <v>-7.8979298329777574</v>
      </c>
      <c r="AH265" s="248">
        <f t="shared" si="115"/>
        <v>-7.7800084335252055</v>
      </c>
      <c r="AI265" s="248">
        <f t="shared" si="115"/>
        <v>-8.2928263246266454</v>
      </c>
      <c r="AJ265" s="248">
        <f t="shared" si="115"/>
        <v>-8.169008855201465</v>
      </c>
      <c r="AK265" s="248">
        <f t="shared" si="115"/>
        <v>-8.7074676408579776</v>
      </c>
      <c r="AL265" s="248">
        <f t="shared" si="115"/>
        <v>-8.5774592979615374</v>
      </c>
    </row>
    <row r="266" spans="1:38" s="595" customFormat="1" x14ac:dyDescent="0.2">
      <c r="B266" s="593" t="s">
        <v>45</v>
      </c>
      <c r="C266" s="594" t="s">
        <v>37</v>
      </c>
      <c r="E266" s="259">
        <f>SUMIFS(QTR!$E75:$CB75,QTR!$E$9:$CB$9,E$13)</f>
        <v>0</v>
      </c>
      <c r="F266" s="259">
        <f>SUMIFS(QTR!$E75:$CB75,QTR!$E$9:$CB$9,F$13)</f>
        <v>0</v>
      </c>
      <c r="G266" s="259">
        <f>SUMIFS(QTR!$E75:$CB75,QTR!$E$9:$CB$9,G$13)</f>
        <v>0</v>
      </c>
      <c r="H266" s="259">
        <f>SUMIFS(QTR!$E75:$CB75,QTR!$E$9:$CB$9,H$13)</f>
        <v>0</v>
      </c>
      <c r="I266" s="259">
        <f>SUMIFS(QTR!$E75:$CB75,QTR!$E$9:$CB$9,I$13)</f>
        <v>-48.600399999999993</v>
      </c>
      <c r="J266" s="259">
        <f>SUMIFS(QTR!$E75:$CB75,QTR!$E$9:$CB$9,J$13)</f>
        <v>-6.6074999999999999</v>
      </c>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c r="AH266" s="259"/>
      <c r="AI266" s="259"/>
      <c r="AJ266" s="259"/>
      <c r="AK266" s="259"/>
      <c r="AL266" s="259"/>
    </row>
    <row r="267" spans="1:38" outlineLevel="1" x14ac:dyDescent="0.2">
      <c r="A267" s="262"/>
      <c r="B267" s="246"/>
      <c r="C267" s="247"/>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c r="AB267" s="249"/>
      <c r="AC267" s="249"/>
      <c r="AD267" s="249"/>
      <c r="AE267" s="249"/>
      <c r="AF267" s="249"/>
      <c r="AG267" s="249"/>
      <c r="AH267" s="249"/>
      <c r="AI267" s="249"/>
      <c r="AJ267" s="249"/>
      <c r="AK267" s="249"/>
      <c r="AL267" s="249"/>
    </row>
    <row r="268" spans="1:38" outlineLevel="1" x14ac:dyDescent="0.2">
      <c r="A268" s="262"/>
      <c r="B268" s="263" t="s">
        <v>150</v>
      </c>
      <c r="C268" s="205" t="s">
        <v>37</v>
      </c>
      <c r="D268" s="249"/>
      <c r="E268" s="231">
        <v>0</v>
      </c>
      <c r="F268" s="231">
        <v>0</v>
      </c>
      <c r="G268" s="231">
        <v>0</v>
      </c>
      <c r="H268" s="231">
        <v>0</v>
      </c>
      <c r="I268" s="231">
        <v>0</v>
      </c>
      <c r="J268" s="231">
        <v>0</v>
      </c>
      <c r="K268" s="265">
        <f t="shared" ref="K268:AL268" si="117">K392</f>
        <v>0</v>
      </c>
      <c r="L268" s="265">
        <f t="shared" si="117"/>
        <v>0</v>
      </c>
      <c r="M268" s="265">
        <f t="shared" si="117"/>
        <v>0</v>
      </c>
      <c r="N268" s="265">
        <f t="shared" si="117"/>
        <v>0</v>
      </c>
      <c r="O268" s="265">
        <f t="shared" si="117"/>
        <v>0</v>
      </c>
      <c r="P268" s="265">
        <f t="shared" si="117"/>
        <v>0</v>
      </c>
      <c r="Q268" s="265">
        <f t="shared" si="117"/>
        <v>0</v>
      </c>
      <c r="R268" s="265">
        <f t="shared" si="117"/>
        <v>0</v>
      </c>
      <c r="S268" s="265">
        <f t="shared" si="117"/>
        <v>0</v>
      </c>
      <c r="T268" s="265">
        <f t="shared" si="117"/>
        <v>0</v>
      </c>
      <c r="U268" s="265">
        <f t="shared" si="117"/>
        <v>0</v>
      </c>
      <c r="V268" s="265">
        <f t="shared" si="117"/>
        <v>0</v>
      </c>
      <c r="W268" s="265">
        <f t="shared" si="117"/>
        <v>0</v>
      </c>
      <c r="X268" s="265">
        <f t="shared" si="117"/>
        <v>0</v>
      </c>
      <c r="Y268" s="265">
        <f t="shared" si="117"/>
        <v>0</v>
      </c>
      <c r="Z268" s="265">
        <f t="shared" si="117"/>
        <v>0</v>
      </c>
      <c r="AA268" s="265">
        <f t="shared" si="117"/>
        <v>0</v>
      </c>
      <c r="AB268" s="265">
        <f t="shared" si="117"/>
        <v>0</v>
      </c>
      <c r="AC268" s="265">
        <f t="shared" si="117"/>
        <v>0</v>
      </c>
      <c r="AD268" s="265">
        <f t="shared" si="117"/>
        <v>0</v>
      </c>
      <c r="AE268" s="265">
        <f t="shared" si="117"/>
        <v>0</v>
      </c>
      <c r="AF268" s="265">
        <f t="shared" si="117"/>
        <v>0</v>
      </c>
      <c r="AG268" s="265">
        <f t="shared" si="117"/>
        <v>0</v>
      </c>
      <c r="AH268" s="265">
        <f t="shared" si="117"/>
        <v>0</v>
      </c>
      <c r="AI268" s="265">
        <f t="shared" si="117"/>
        <v>0</v>
      </c>
      <c r="AJ268" s="265">
        <f t="shared" si="117"/>
        <v>0</v>
      </c>
      <c r="AK268" s="265">
        <f t="shared" si="117"/>
        <v>0</v>
      </c>
      <c r="AL268" s="265">
        <f t="shared" si="117"/>
        <v>0</v>
      </c>
    </row>
    <row r="269" spans="1:38" outlineLevel="1" x14ac:dyDescent="0.2">
      <c r="A269" s="262"/>
      <c r="B269" s="263" t="s">
        <v>151</v>
      </c>
      <c r="C269" s="205" t="s">
        <v>37</v>
      </c>
      <c r="D269" s="249"/>
      <c r="E269" s="231">
        <v>0</v>
      </c>
      <c r="F269" s="231">
        <v>0</v>
      </c>
      <c r="G269" s="231">
        <v>0</v>
      </c>
      <c r="H269" s="231">
        <f>48.9-G269</f>
        <v>48.9</v>
      </c>
      <c r="I269" s="231">
        <v>0</v>
      </c>
      <c r="J269" s="231">
        <f>-0.1-I269</f>
        <v>-0.1</v>
      </c>
      <c r="K269" s="265">
        <f t="shared" ref="K269:AL269" si="118">K402+K398</f>
        <v>0</v>
      </c>
      <c r="L269" s="265">
        <f t="shared" si="118"/>
        <v>0</v>
      </c>
      <c r="M269" s="265">
        <f t="shared" si="118"/>
        <v>0</v>
      </c>
      <c r="N269" s="265">
        <f t="shared" si="118"/>
        <v>0</v>
      </c>
      <c r="O269" s="265">
        <f t="shared" si="118"/>
        <v>0</v>
      </c>
      <c r="P269" s="265">
        <f t="shared" si="118"/>
        <v>0</v>
      </c>
      <c r="Q269" s="265">
        <f t="shared" si="118"/>
        <v>0</v>
      </c>
      <c r="R269" s="265">
        <f t="shared" si="118"/>
        <v>0</v>
      </c>
      <c r="S269" s="265">
        <f t="shared" si="118"/>
        <v>0</v>
      </c>
      <c r="T269" s="265">
        <f t="shared" si="118"/>
        <v>0</v>
      </c>
      <c r="U269" s="265">
        <f t="shared" si="118"/>
        <v>0</v>
      </c>
      <c r="V269" s="265">
        <f t="shared" si="118"/>
        <v>0</v>
      </c>
      <c r="W269" s="265">
        <f t="shared" si="118"/>
        <v>0</v>
      </c>
      <c r="X269" s="265">
        <f t="shared" si="118"/>
        <v>0</v>
      </c>
      <c r="Y269" s="265">
        <f t="shared" si="118"/>
        <v>0</v>
      </c>
      <c r="Z269" s="265">
        <f t="shared" si="118"/>
        <v>0</v>
      </c>
      <c r="AA269" s="265">
        <f t="shared" si="118"/>
        <v>0</v>
      </c>
      <c r="AB269" s="265">
        <f t="shared" si="118"/>
        <v>0</v>
      </c>
      <c r="AC269" s="265">
        <f t="shared" si="118"/>
        <v>0</v>
      </c>
      <c r="AD269" s="265">
        <f t="shared" si="118"/>
        <v>0</v>
      </c>
      <c r="AE269" s="265">
        <f t="shared" si="118"/>
        <v>0</v>
      </c>
      <c r="AF269" s="265">
        <f t="shared" si="118"/>
        <v>0</v>
      </c>
      <c r="AG269" s="265">
        <f t="shared" si="118"/>
        <v>0</v>
      </c>
      <c r="AH269" s="265">
        <f t="shared" si="118"/>
        <v>0</v>
      </c>
      <c r="AI269" s="265">
        <f t="shared" si="118"/>
        <v>0</v>
      </c>
      <c r="AJ269" s="265">
        <f t="shared" si="118"/>
        <v>0</v>
      </c>
      <c r="AK269" s="265">
        <f t="shared" si="118"/>
        <v>0</v>
      </c>
      <c r="AL269" s="265">
        <f t="shared" si="118"/>
        <v>0</v>
      </c>
    </row>
    <row r="270" spans="1:38" ht="11.25" customHeight="1" outlineLevel="1" x14ac:dyDescent="0.2">
      <c r="A270" s="262"/>
      <c r="B270" s="263" t="s">
        <v>152</v>
      </c>
      <c r="C270" s="205" t="s">
        <v>37</v>
      </c>
      <c r="D270" s="249"/>
      <c r="E270" s="231">
        <v>0</v>
      </c>
      <c r="F270" s="231">
        <v>0</v>
      </c>
      <c r="G270" s="231">
        <v>0</v>
      </c>
      <c r="H270" s="231">
        <v>0</v>
      </c>
      <c r="I270" s="231">
        <v>-40.700000000000003</v>
      </c>
      <c r="J270" s="231">
        <f>-41.3-I270</f>
        <v>-0.59999999999999432</v>
      </c>
      <c r="K270" s="256">
        <f t="shared" ref="K270:AL270" si="119">K482</f>
        <v>0</v>
      </c>
      <c r="L270" s="256">
        <f t="shared" si="119"/>
        <v>0</v>
      </c>
      <c r="M270" s="256">
        <f t="shared" si="119"/>
        <v>0</v>
      </c>
      <c r="N270" s="256">
        <f t="shared" si="119"/>
        <v>0</v>
      </c>
      <c r="O270" s="256">
        <f t="shared" si="119"/>
        <v>0</v>
      </c>
      <c r="P270" s="256">
        <f t="shared" si="119"/>
        <v>0</v>
      </c>
      <c r="Q270" s="256">
        <f t="shared" si="119"/>
        <v>0</v>
      </c>
      <c r="R270" s="256">
        <f t="shared" si="119"/>
        <v>0</v>
      </c>
      <c r="S270" s="256">
        <f t="shared" si="119"/>
        <v>0</v>
      </c>
      <c r="T270" s="256">
        <f t="shared" si="119"/>
        <v>0</v>
      </c>
      <c r="U270" s="256">
        <f t="shared" si="119"/>
        <v>0</v>
      </c>
      <c r="V270" s="256">
        <f t="shared" si="119"/>
        <v>0</v>
      </c>
      <c r="W270" s="256">
        <f t="shared" si="119"/>
        <v>0</v>
      </c>
      <c r="X270" s="256">
        <f t="shared" si="119"/>
        <v>0</v>
      </c>
      <c r="Y270" s="256">
        <f t="shared" si="119"/>
        <v>0</v>
      </c>
      <c r="Z270" s="256">
        <f t="shared" si="119"/>
        <v>0</v>
      </c>
      <c r="AA270" s="256">
        <f t="shared" si="119"/>
        <v>0</v>
      </c>
      <c r="AB270" s="256">
        <f t="shared" si="119"/>
        <v>0</v>
      </c>
      <c r="AC270" s="256">
        <f t="shared" si="119"/>
        <v>0</v>
      </c>
      <c r="AD270" s="256">
        <f t="shared" si="119"/>
        <v>0</v>
      </c>
      <c r="AE270" s="256">
        <f t="shared" si="119"/>
        <v>0</v>
      </c>
      <c r="AF270" s="256">
        <f t="shared" si="119"/>
        <v>0</v>
      </c>
      <c r="AG270" s="256">
        <f t="shared" si="119"/>
        <v>0</v>
      </c>
      <c r="AH270" s="256">
        <f t="shared" si="119"/>
        <v>0</v>
      </c>
      <c r="AI270" s="256">
        <f t="shared" si="119"/>
        <v>0</v>
      </c>
      <c r="AJ270" s="256">
        <f t="shared" si="119"/>
        <v>0</v>
      </c>
      <c r="AK270" s="256">
        <f t="shared" si="119"/>
        <v>0</v>
      </c>
      <c r="AL270" s="256">
        <f t="shared" si="119"/>
        <v>0</v>
      </c>
    </row>
    <row r="271" spans="1:38" outlineLevel="1" x14ac:dyDescent="0.2">
      <c r="A271" s="262"/>
      <c r="B271" s="263" t="s">
        <v>153</v>
      </c>
      <c r="C271" s="205" t="s">
        <v>37</v>
      </c>
      <c r="D271" s="249"/>
      <c r="E271" s="231">
        <v>0</v>
      </c>
      <c r="F271" s="231">
        <f>19.2-E271</f>
        <v>19.2</v>
      </c>
      <c r="G271" s="231">
        <v>0</v>
      </c>
      <c r="H271" s="231">
        <f>129.4-G271</f>
        <v>129.4</v>
      </c>
      <c r="I271" s="231">
        <v>0</v>
      </c>
      <c r="J271" s="231">
        <v>0</v>
      </c>
      <c r="K271" s="265">
        <f t="shared" ref="K271:AL271" si="120">K477</f>
        <v>0</v>
      </c>
      <c r="L271" s="265">
        <f t="shared" si="120"/>
        <v>0</v>
      </c>
      <c r="M271" s="265">
        <f t="shared" si="120"/>
        <v>0</v>
      </c>
      <c r="N271" s="265">
        <f t="shared" si="120"/>
        <v>0</v>
      </c>
      <c r="O271" s="265">
        <f t="shared" si="120"/>
        <v>0</v>
      </c>
      <c r="P271" s="265">
        <f t="shared" si="120"/>
        <v>0</v>
      </c>
      <c r="Q271" s="265">
        <f t="shared" si="120"/>
        <v>0</v>
      </c>
      <c r="R271" s="265">
        <f t="shared" si="120"/>
        <v>0</v>
      </c>
      <c r="S271" s="265">
        <f t="shared" si="120"/>
        <v>0</v>
      </c>
      <c r="T271" s="265">
        <f t="shared" si="120"/>
        <v>0</v>
      </c>
      <c r="U271" s="265">
        <f t="shared" si="120"/>
        <v>0</v>
      </c>
      <c r="V271" s="265">
        <f t="shared" si="120"/>
        <v>0</v>
      </c>
      <c r="W271" s="265">
        <f t="shared" si="120"/>
        <v>0</v>
      </c>
      <c r="X271" s="265">
        <f t="shared" si="120"/>
        <v>0</v>
      </c>
      <c r="Y271" s="265">
        <f t="shared" si="120"/>
        <v>0</v>
      </c>
      <c r="Z271" s="265">
        <f t="shared" si="120"/>
        <v>0</v>
      </c>
      <c r="AA271" s="265">
        <f t="shared" si="120"/>
        <v>0</v>
      </c>
      <c r="AB271" s="265">
        <f t="shared" si="120"/>
        <v>0</v>
      </c>
      <c r="AC271" s="265">
        <f t="shared" si="120"/>
        <v>0</v>
      </c>
      <c r="AD271" s="265">
        <f t="shared" si="120"/>
        <v>0</v>
      </c>
      <c r="AE271" s="265">
        <f t="shared" si="120"/>
        <v>0</v>
      </c>
      <c r="AF271" s="265">
        <f t="shared" si="120"/>
        <v>0</v>
      </c>
      <c r="AG271" s="265">
        <f t="shared" si="120"/>
        <v>0</v>
      </c>
      <c r="AH271" s="265">
        <f t="shared" si="120"/>
        <v>0</v>
      </c>
      <c r="AI271" s="265">
        <f t="shared" si="120"/>
        <v>0</v>
      </c>
      <c r="AJ271" s="265">
        <f t="shared" si="120"/>
        <v>0</v>
      </c>
      <c r="AK271" s="265">
        <f t="shared" si="120"/>
        <v>0</v>
      </c>
      <c r="AL271" s="265">
        <f t="shared" si="120"/>
        <v>0</v>
      </c>
    </row>
    <row r="272" spans="1:38" ht="11.25" customHeight="1" outlineLevel="1" x14ac:dyDescent="0.2">
      <c r="A272" s="262"/>
      <c r="B272" s="263" t="s">
        <v>154</v>
      </c>
      <c r="C272" s="205" t="s">
        <v>37</v>
      </c>
      <c r="D272" s="249"/>
      <c r="E272" s="231">
        <v>0</v>
      </c>
      <c r="F272" s="231">
        <v>0</v>
      </c>
      <c r="G272" s="231">
        <v>0</v>
      </c>
      <c r="H272" s="231">
        <v>0</v>
      </c>
      <c r="I272" s="231">
        <v>0</v>
      </c>
      <c r="J272" s="231">
        <v>0</v>
      </c>
      <c r="K272" s="265">
        <f t="shared" ref="K272:AL272" si="121">K471</f>
        <v>0</v>
      </c>
      <c r="L272" s="265">
        <f t="shared" si="121"/>
        <v>0</v>
      </c>
      <c r="M272" s="265">
        <f t="shared" si="121"/>
        <v>0</v>
      </c>
      <c r="N272" s="265">
        <f t="shared" si="121"/>
        <v>0</v>
      </c>
      <c r="O272" s="265">
        <f t="shared" si="121"/>
        <v>0</v>
      </c>
      <c r="P272" s="265">
        <f t="shared" si="121"/>
        <v>0</v>
      </c>
      <c r="Q272" s="265">
        <f t="shared" si="121"/>
        <v>0</v>
      </c>
      <c r="R272" s="265">
        <f t="shared" si="121"/>
        <v>0</v>
      </c>
      <c r="S272" s="265">
        <f t="shared" si="121"/>
        <v>0</v>
      </c>
      <c r="T272" s="265">
        <f t="shared" si="121"/>
        <v>0</v>
      </c>
      <c r="U272" s="265">
        <f t="shared" si="121"/>
        <v>0</v>
      </c>
      <c r="V272" s="265">
        <f t="shared" si="121"/>
        <v>0</v>
      </c>
      <c r="W272" s="265">
        <f t="shared" si="121"/>
        <v>0</v>
      </c>
      <c r="X272" s="265">
        <f t="shared" si="121"/>
        <v>0</v>
      </c>
      <c r="Y272" s="265">
        <f t="shared" si="121"/>
        <v>0</v>
      </c>
      <c r="Z272" s="265">
        <f t="shared" si="121"/>
        <v>0</v>
      </c>
      <c r="AA272" s="265">
        <f t="shared" si="121"/>
        <v>0</v>
      </c>
      <c r="AB272" s="265">
        <f t="shared" si="121"/>
        <v>0</v>
      </c>
      <c r="AC272" s="265">
        <f t="shared" si="121"/>
        <v>0</v>
      </c>
      <c r="AD272" s="265">
        <f t="shared" si="121"/>
        <v>0</v>
      </c>
      <c r="AE272" s="265">
        <f t="shared" si="121"/>
        <v>0</v>
      </c>
      <c r="AF272" s="265">
        <f t="shared" si="121"/>
        <v>0</v>
      </c>
      <c r="AG272" s="265">
        <f t="shared" si="121"/>
        <v>0</v>
      </c>
      <c r="AH272" s="265">
        <f t="shared" si="121"/>
        <v>0</v>
      </c>
      <c r="AI272" s="265">
        <f t="shared" si="121"/>
        <v>0</v>
      </c>
      <c r="AJ272" s="265">
        <f t="shared" si="121"/>
        <v>0</v>
      </c>
      <c r="AK272" s="265">
        <f t="shared" si="121"/>
        <v>0</v>
      </c>
      <c r="AL272" s="265">
        <f t="shared" si="121"/>
        <v>0</v>
      </c>
    </row>
    <row r="273" spans="1:38" ht="11.25" customHeight="1" outlineLevel="1" x14ac:dyDescent="0.2">
      <c r="A273" s="262"/>
      <c r="B273" s="263" t="s">
        <v>155</v>
      </c>
      <c r="C273" s="205" t="s">
        <v>37</v>
      </c>
      <c r="D273" s="249"/>
      <c r="E273" s="231">
        <v>-0.3</v>
      </c>
      <c r="F273" s="231">
        <f>-0.5-E273</f>
        <v>-0.2</v>
      </c>
      <c r="G273" s="231">
        <v>-0.6</v>
      </c>
      <c r="H273" s="231">
        <f>-2.4-G273</f>
        <v>-1.7999999999999998</v>
      </c>
      <c r="I273" s="231">
        <v>-0.6</v>
      </c>
      <c r="J273" s="231">
        <f>-1.2-I273</f>
        <v>-0.6</v>
      </c>
      <c r="K273" s="250">
        <v>0</v>
      </c>
      <c r="L273" s="250">
        <v>0</v>
      </c>
      <c r="M273" s="250">
        <v>0</v>
      </c>
      <c r="N273" s="250">
        <v>0</v>
      </c>
      <c r="O273" s="250">
        <v>0</v>
      </c>
      <c r="P273" s="250">
        <v>0</v>
      </c>
      <c r="Q273" s="250">
        <v>0</v>
      </c>
      <c r="R273" s="250">
        <v>0</v>
      </c>
      <c r="S273" s="250">
        <v>0</v>
      </c>
      <c r="T273" s="250">
        <v>0</v>
      </c>
      <c r="U273" s="250">
        <v>0</v>
      </c>
      <c r="V273" s="250">
        <v>0</v>
      </c>
      <c r="W273" s="250">
        <v>0</v>
      </c>
      <c r="X273" s="250">
        <v>0</v>
      </c>
      <c r="Y273" s="250">
        <v>0</v>
      </c>
      <c r="Z273" s="250">
        <v>0</v>
      </c>
      <c r="AA273" s="250">
        <v>0</v>
      </c>
      <c r="AB273" s="250">
        <v>0</v>
      </c>
      <c r="AC273" s="250">
        <v>0</v>
      </c>
      <c r="AD273" s="250">
        <v>0</v>
      </c>
      <c r="AE273" s="250">
        <v>0</v>
      </c>
      <c r="AF273" s="250">
        <v>0</v>
      </c>
      <c r="AG273" s="250">
        <v>0</v>
      </c>
      <c r="AH273" s="250">
        <v>0</v>
      </c>
      <c r="AI273" s="250">
        <v>0</v>
      </c>
      <c r="AJ273" s="250">
        <v>0</v>
      </c>
      <c r="AK273" s="250">
        <v>0</v>
      </c>
      <c r="AL273" s="250">
        <v>0</v>
      </c>
    </row>
    <row r="274" spans="1:38" ht="11.25" customHeight="1" outlineLevel="1" x14ac:dyDescent="0.2">
      <c r="A274" s="262"/>
      <c r="B274" s="263" t="s">
        <v>101</v>
      </c>
      <c r="C274" s="205" t="s">
        <v>37</v>
      </c>
      <c r="D274" s="249"/>
      <c r="E274" s="231">
        <v>0</v>
      </c>
      <c r="F274" s="231">
        <f>-0.5-E274</f>
        <v>-0.5</v>
      </c>
      <c r="G274" s="231">
        <v>1</v>
      </c>
      <c r="H274" s="231">
        <f>0.8-7-G274</f>
        <v>-7.2</v>
      </c>
      <c r="I274" s="231">
        <v>0</v>
      </c>
      <c r="J274" s="231">
        <f>0-0-I274</f>
        <v>0</v>
      </c>
      <c r="K274" s="250">
        <v>0</v>
      </c>
      <c r="L274" s="250">
        <v>0</v>
      </c>
      <c r="M274" s="250">
        <v>0</v>
      </c>
      <c r="N274" s="250">
        <v>0</v>
      </c>
      <c r="O274" s="250">
        <v>0</v>
      </c>
      <c r="P274" s="250">
        <v>0</v>
      </c>
      <c r="Q274" s="250">
        <v>0</v>
      </c>
      <c r="R274" s="250">
        <v>0</v>
      </c>
      <c r="S274" s="250">
        <v>0</v>
      </c>
      <c r="T274" s="250">
        <v>0</v>
      </c>
      <c r="U274" s="250">
        <v>0</v>
      </c>
      <c r="V274" s="250">
        <v>0</v>
      </c>
      <c r="W274" s="250">
        <v>0</v>
      </c>
      <c r="X274" s="250">
        <v>0</v>
      </c>
      <c r="Y274" s="250">
        <v>0</v>
      </c>
      <c r="Z274" s="250">
        <v>0</v>
      </c>
      <c r="AA274" s="250">
        <v>0</v>
      </c>
      <c r="AB274" s="250">
        <v>0</v>
      </c>
      <c r="AC274" s="250">
        <v>0</v>
      </c>
      <c r="AD274" s="250">
        <v>0</v>
      </c>
      <c r="AE274" s="250">
        <v>0</v>
      </c>
      <c r="AF274" s="250">
        <v>0</v>
      </c>
      <c r="AG274" s="250">
        <v>0</v>
      </c>
      <c r="AH274" s="250">
        <v>0</v>
      </c>
      <c r="AI274" s="250">
        <v>0</v>
      </c>
      <c r="AJ274" s="250">
        <v>0</v>
      </c>
      <c r="AK274" s="250">
        <v>0</v>
      </c>
      <c r="AL274" s="250">
        <v>0</v>
      </c>
    </row>
    <row r="275" spans="1:38" ht="11.25" customHeight="1" outlineLevel="1" x14ac:dyDescent="0.2">
      <c r="A275" s="262"/>
      <c r="B275" s="251" t="s">
        <v>67</v>
      </c>
      <c r="C275" s="252" t="s">
        <v>67</v>
      </c>
      <c r="D275" s="266"/>
      <c r="E275" s="254" t="s">
        <v>67</v>
      </c>
      <c r="F275" s="254" t="s">
        <v>67</v>
      </c>
      <c r="G275" s="254" t="s">
        <v>67</v>
      </c>
      <c r="H275" s="254" t="s">
        <v>67</v>
      </c>
      <c r="I275" s="254" t="s">
        <v>67</v>
      </c>
      <c r="J275" s="254" t="s">
        <v>67</v>
      </c>
      <c r="K275" s="254" t="s">
        <v>67</v>
      </c>
      <c r="L275" s="254" t="s">
        <v>67</v>
      </c>
      <c r="M275" s="254" t="s">
        <v>67</v>
      </c>
      <c r="N275" s="254" t="s">
        <v>67</v>
      </c>
      <c r="O275" s="254" t="s">
        <v>67</v>
      </c>
      <c r="P275" s="254" t="s">
        <v>67</v>
      </c>
      <c r="Q275" s="254" t="s">
        <v>67</v>
      </c>
      <c r="R275" s="254" t="s">
        <v>67</v>
      </c>
      <c r="S275" s="254" t="s">
        <v>67</v>
      </c>
      <c r="T275" s="254" t="s">
        <v>67</v>
      </c>
      <c r="U275" s="254" t="s">
        <v>67</v>
      </c>
      <c r="V275" s="254" t="s">
        <v>67</v>
      </c>
      <c r="W275" s="254" t="s">
        <v>67</v>
      </c>
      <c r="X275" s="254" t="s">
        <v>67</v>
      </c>
      <c r="Y275" s="254" t="s">
        <v>67</v>
      </c>
      <c r="Z275" s="254" t="s">
        <v>67</v>
      </c>
      <c r="AA275" s="254" t="s">
        <v>67</v>
      </c>
      <c r="AB275" s="254" t="s">
        <v>67</v>
      </c>
      <c r="AC275" s="254" t="s">
        <v>67</v>
      </c>
      <c r="AD275" s="254" t="s">
        <v>67</v>
      </c>
      <c r="AE275" s="254" t="s">
        <v>67</v>
      </c>
      <c r="AF275" s="254" t="s">
        <v>67</v>
      </c>
      <c r="AG275" s="254" t="s">
        <v>67</v>
      </c>
      <c r="AH275" s="254" t="s">
        <v>67</v>
      </c>
      <c r="AI275" s="254" t="s">
        <v>67</v>
      </c>
      <c r="AJ275" s="254" t="s">
        <v>67</v>
      </c>
      <c r="AK275" s="254" t="s">
        <v>67</v>
      </c>
      <c r="AL275" s="254" t="s">
        <v>67</v>
      </c>
    </row>
    <row r="276" spans="1:38" s="237" customFormat="1" ht="11.25" customHeight="1" outlineLevel="1" x14ac:dyDescent="0.2">
      <c r="A276" s="262"/>
      <c r="B276" s="239" t="s">
        <v>156</v>
      </c>
      <c r="C276" s="247" t="s">
        <v>37</v>
      </c>
      <c r="D276" s="255"/>
      <c r="E276" s="248">
        <f t="shared" ref="E276:AL276" si="122">SUM(E268:E275)</f>
        <v>-0.3</v>
      </c>
      <c r="F276" s="248">
        <f t="shared" si="122"/>
        <v>18.5</v>
      </c>
      <c r="G276" s="248">
        <f t="shared" si="122"/>
        <v>0.4</v>
      </c>
      <c r="H276" s="248">
        <f t="shared" si="122"/>
        <v>169.3</v>
      </c>
      <c r="I276" s="248">
        <f t="shared" si="122"/>
        <v>-41.300000000000004</v>
      </c>
      <c r="J276" s="248">
        <f t="shared" ref="J276" si="123">SUM(J268:J275)</f>
        <v>-1.2999999999999943</v>
      </c>
      <c r="K276" s="248">
        <f t="shared" si="122"/>
        <v>0</v>
      </c>
      <c r="L276" s="248">
        <f t="shared" si="122"/>
        <v>0</v>
      </c>
      <c r="M276" s="248">
        <f t="shared" si="122"/>
        <v>0</v>
      </c>
      <c r="N276" s="248">
        <f t="shared" si="122"/>
        <v>0</v>
      </c>
      <c r="O276" s="248">
        <f t="shared" si="122"/>
        <v>0</v>
      </c>
      <c r="P276" s="248">
        <f t="shared" si="122"/>
        <v>0</v>
      </c>
      <c r="Q276" s="248">
        <f t="shared" si="122"/>
        <v>0</v>
      </c>
      <c r="R276" s="248">
        <f t="shared" si="122"/>
        <v>0</v>
      </c>
      <c r="S276" s="248">
        <f t="shared" si="122"/>
        <v>0</v>
      </c>
      <c r="T276" s="248">
        <f t="shared" si="122"/>
        <v>0</v>
      </c>
      <c r="U276" s="248">
        <f t="shared" si="122"/>
        <v>0</v>
      </c>
      <c r="V276" s="248">
        <f t="shared" si="122"/>
        <v>0</v>
      </c>
      <c r="W276" s="248">
        <f t="shared" si="122"/>
        <v>0</v>
      </c>
      <c r="X276" s="248">
        <f t="shared" si="122"/>
        <v>0</v>
      </c>
      <c r="Y276" s="248">
        <f t="shared" si="122"/>
        <v>0</v>
      </c>
      <c r="Z276" s="248">
        <f t="shared" si="122"/>
        <v>0</v>
      </c>
      <c r="AA276" s="248">
        <f t="shared" si="122"/>
        <v>0</v>
      </c>
      <c r="AB276" s="248">
        <f t="shared" si="122"/>
        <v>0</v>
      </c>
      <c r="AC276" s="248">
        <f t="shared" si="122"/>
        <v>0</v>
      </c>
      <c r="AD276" s="248">
        <f t="shared" si="122"/>
        <v>0</v>
      </c>
      <c r="AE276" s="248">
        <f t="shared" si="122"/>
        <v>0</v>
      </c>
      <c r="AF276" s="248">
        <f t="shared" si="122"/>
        <v>0</v>
      </c>
      <c r="AG276" s="248">
        <f t="shared" si="122"/>
        <v>0</v>
      </c>
      <c r="AH276" s="248">
        <f t="shared" si="122"/>
        <v>0</v>
      </c>
      <c r="AI276" s="248">
        <f t="shared" si="122"/>
        <v>0</v>
      </c>
      <c r="AJ276" s="248">
        <f t="shared" si="122"/>
        <v>0</v>
      </c>
      <c r="AK276" s="248">
        <f t="shared" si="122"/>
        <v>0</v>
      </c>
      <c r="AL276" s="248">
        <f t="shared" si="122"/>
        <v>0</v>
      </c>
    </row>
    <row r="277" spans="1:38" s="595" customFormat="1" x14ac:dyDescent="0.2">
      <c r="B277" s="593" t="s">
        <v>45</v>
      </c>
      <c r="C277" s="594" t="s">
        <v>37</v>
      </c>
      <c r="E277" s="259">
        <f>SUMIFS(QTR!$E76:$CB76,QTR!$E$9:$CB$9,E$13)</f>
        <v>0</v>
      </c>
      <c r="F277" s="259">
        <f>SUMIFS(QTR!$E76:$CB76,QTR!$E$9:$CB$9,F$13)</f>
        <v>0</v>
      </c>
      <c r="G277" s="259">
        <f>SUMIFS(QTR!$E76:$CB76,QTR!$E$9:$CB$9,G$13)</f>
        <v>0</v>
      </c>
      <c r="H277" s="259">
        <f>SUMIFS(QTR!$E76:$CB76,QTR!$E$9:$CB$9,H$13)</f>
        <v>0</v>
      </c>
      <c r="I277" s="259">
        <f>SUMIFS(QTR!$E76:$CB76,QTR!$E$9:$CB$9,I$13)</f>
        <v>0</v>
      </c>
      <c r="J277" s="259">
        <f>SUMIFS(QTR!$E76:$CB76,QTR!$E$9:$CB$9,J$13)</f>
        <v>-0.38369999999999999</v>
      </c>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9"/>
      <c r="AI277" s="259"/>
      <c r="AJ277" s="259"/>
      <c r="AK277" s="259"/>
      <c r="AL277" s="259"/>
    </row>
    <row r="278" spans="1:38" outlineLevel="1" x14ac:dyDescent="0.2">
      <c r="A278" s="262"/>
      <c r="B278" s="246"/>
      <c r="C278" s="247"/>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c r="AB278" s="249"/>
      <c r="AC278" s="249"/>
      <c r="AD278" s="249"/>
      <c r="AE278" s="249"/>
      <c r="AF278" s="249"/>
      <c r="AG278" s="249"/>
      <c r="AH278" s="249"/>
      <c r="AI278" s="249"/>
      <c r="AJ278" s="249"/>
      <c r="AK278" s="249"/>
      <c r="AL278" s="249"/>
    </row>
    <row r="279" spans="1:38" outlineLevel="1" x14ac:dyDescent="0.2">
      <c r="A279" s="262"/>
      <c r="B279" s="234" t="s">
        <v>157</v>
      </c>
      <c r="C279" s="205" t="s">
        <v>37</v>
      </c>
      <c r="D279" s="249"/>
      <c r="E279" s="231">
        <v>22.7</v>
      </c>
      <c r="F279" s="256">
        <f t="shared" ref="F279:AL279" si="124">E283</f>
        <v>8.6</v>
      </c>
      <c r="G279" s="256">
        <f t="shared" si="124"/>
        <v>24.5</v>
      </c>
      <c r="H279" s="256">
        <f t="shared" si="124"/>
        <v>16</v>
      </c>
      <c r="I279" s="256">
        <f t="shared" si="124"/>
        <v>104.9</v>
      </c>
      <c r="J279" s="256">
        <f t="shared" si="124"/>
        <v>40.799999999999997</v>
      </c>
      <c r="K279" s="256">
        <f t="shared" si="124"/>
        <v>27.6</v>
      </c>
      <c r="L279" s="256">
        <f t="shared" si="124"/>
        <v>26.892555806497558</v>
      </c>
      <c r="M279" s="256">
        <f t="shared" si="124"/>
        <v>29.338569229590878</v>
      </c>
      <c r="N279" s="256">
        <f t="shared" si="124"/>
        <v>31.939783849415459</v>
      </c>
      <c r="O279" s="256">
        <f t="shared" si="124"/>
        <v>35.835070516634943</v>
      </c>
      <c r="P279" s="256">
        <f t="shared" si="124"/>
        <v>40.032624768013811</v>
      </c>
      <c r="Q279" s="256">
        <f t="shared" si="124"/>
        <v>45.075051409491252</v>
      </c>
      <c r="R279" s="256">
        <f t="shared" si="124"/>
        <v>51.174293313388176</v>
      </c>
      <c r="S279" s="256">
        <f t="shared" si="124"/>
        <v>57.029758684486303</v>
      </c>
      <c r="T279" s="256">
        <f t="shared" si="124"/>
        <v>63.893465743987569</v>
      </c>
      <c r="U279" s="256">
        <f t="shared" si="124"/>
        <v>70.504095236106579</v>
      </c>
      <c r="V279" s="256">
        <f t="shared" si="124"/>
        <v>77.798861657977525</v>
      </c>
      <c r="W279" s="256">
        <f t="shared" si="124"/>
        <v>84.828307149279439</v>
      </c>
      <c r="X279" s="256">
        <f t="shared" si="124"/>
        <v>92.588693032276993</v>
      </c>
      <c r="Y279" s="256">
        <f t="shared" si="124"/>
        <v>100.07804561677837</v>
      </c>
      <c r="Z279" s="256">
        <f t="shared" si="124"/>
        <v>108.33818713012715</v>
      </c>
      <c r="AA279" s="256">
        <f t="shared" si="124"/>
        <v>116.31607461411772</v>
      </c>
      <c r="AB279" s="256">
        <f t="shared" si="124"/>
        <v>125.11003662074853</v>
      </c>
      <c r="AC279" s="256">
        <f t="shared" si="124"/>
        <v>133.60920232199746</v>
      </c>
      <c r="AD279" s="256">
        <f t="shared" si="124"/>
        <v>142.97137166968815</v>
      </c>
      <c r="AE279" s="256">
        <f t="shared" si="124"/>
        <v>152.02340019042907</v>
      </c>
      <c r="AF279" s="256">
        <f t="shared" si="124"/>
        <v>161.98878255319909</v>
      </c>
      <c r="AG279" s="256">
        <f t="shared" si="124"/>
        <v>171.63063761402185</v>
      </c>
      <c r="AH279" s="256">
        <f t="shared" si="124"/>
        <v>182.23515396331729</v>
      </c>
      <c r="AI279" s="256">
        <f t="shared" si="124"/>
        <v>192.50005066612897</v>
      </c>
      <c r="AJ279" s="256">
        <f t="shared" si="124"/>
        <v>203.78073348367246</v>
      </c>
      <c r="AK279" s="256">
        <f t="shared" si="124"/>
        <v>214.70458484366776</v>
      </c>
      <c r="AL279" s="256">
        <f t="shared" si="124"/>
        <v>226.69979179878885</v>
      </c>
    </row>
    <row r="280" spans="1:38" outlineLevel="1" x14ac:dyDescent="0.2">
      <c r="A280" s="262"/>
      <c r="B280" s="234" t="s">
        <v>158</v>
      </c>
      <c r="C280" s="205" t="s">
        <v>37</v>
      </c>
      <c r="D280" s="249"/>
      <c r="E280" s="256">
        <f t="shared" ref="E280:AL280" si="125">E255+E265+E276</f>
        <v>-14.000000000000002</v>
      </c>
      <c r="F280" s="256">
        <f t="shared" si="125"/>
        <v>15.6</v>
      </c>
      <c r="G280" s="256">
        <f t="shared" si="125"/>
        <v>-8.7999999999999989</v>
      </c>
      <c r="H280" s="256">
        <f t="shared" si="125"/>
        <v>89.4</v>
      </c>
      <c r="I280" s="256">
        <f t="shared" si="125"/>
        <v>-64.100000000000009</v>
      </c>
      <c r="J280" s="256">
        <f t="shared" ref="J280" si="126">J255+J265+J276</f>
        <v>-13.199999999999992</v>
      </c>
      <c r="K280" s="256">
        <f t="shared" si="125"/>
        <v>-0.70744419350244225</v>
      </c>
      <c r="L280" s="256">
        <f t="shared" si="125"/>
        <v>2.4460134230933201</v>
      </c>
      <c r="M280" s="256">
        <f t="shared" si="125"/>
        <v>2.6012146198245807</v>
      </c>
      <c r="N280" s="256">
        <f t="shared" si="125"/>
        <v>3.895286667219481</v>
      </c>
      <c r="O280" s="256">
        <f t="shared" si="125"/>
        <v>4.1975542513788699</v>
      </c>
      <c r="P280" s="256">
        <f t="shared" si="125"/>
        <v>5.0424266414774443</v>
      </c>
      <c r="Q280" s="256">
        <f t="shared" si="125"/>
        <v>6.0992419038969281</v>
      </c>
      <c r="R280" s="256">
        <f t="shared" si="125"/>
        <v>5.8554653710981279</v>
      </c>
      <c r="S280" s="256">
        <f t="shared" si="125"/>
        <v>6.8637070595012668</v>
      </c>
      <c r="T280" s="256">
        <f t="shared" si="125"/>
        <v>6.6106294921190054</v>
      </c>
      <c r="U280" s="256">
        <f t="shared" si="125"/>
        <v>7.2947664218709418</v>
      </c>
      <c r="V280" s="256">
        <f t="shared" si="125"/>
        <v>7.0294454913019075</v>
      </c>
      <c r="W280" s="256">
        <f t="shared" si="125"/>
        <v>7.760385882997558</v>
      </c>
      <c r="X280" s="256">
        <f t="shared" si="125"/>
        <v>7.4893525845013746</v>
      </c>
      <c r="Y280" s="256">
        <f t="shared" si="125"/>
        <v>8.2601415133487812</v>
      </c>
      <c r="Z280" s="256">
        <f t="shared" si="125"/>
        <v>7.9778874839905667</v>
      </c>
      <c r="AA280" s="256">
        <f t="shared" si="125"/>
        <v>8.7939620066307995</v>
      </c>
      <c r="AB280" s="256">
        <f t="shared" si="125"/>
        <v>8.4991657012489217</v>
      </c>
      <c r="AC280" s="256">
        <f t="shared" si="125"/>
        <v>9.3621693476907062</v>
      </c>
      <c r="AD280" s="256">
        <f t="shared" si="125"/>
        <v>9.0520285207409152</v>
      </c>
      <c r="AE280" s="256">
        <f t="shared" si="125"/>
        <v>9.9653823627700095</v>
      </c>
      <c r="AF280" s="256">
        <f t="shared" si="125"/>
        <v>9.6418550608227527</v>
      </c>
      <c r="AG280" s="256">
        <f t="shared" si="125"/>
        <v>10.60451634929545</v>
      </c>
      <c r="AH280" s="256">
        <f t="shared" si="125"/>
        <v>10.264896702811692</v>
      </c>
      <c r="AI280" s="256">
        <f t="shared" si="125"/>
        <v>11.280682817543507</v>
      </c>
      <c r="AJ280" s="256">
        <f t="shared" si="125"/>
        <v>10.923851359995286</v>
      </c>
      <c r="AK280" s="256">
        <f t="shared" si="125"/>
        <v>11.995206955121088</v>
      </c>
      <c r="AL280" s="256">
        <f t="shared" si="125"/>
        <v>11.621693275974478</v>
      </c>
    </row>
    <row r="281" spans="1:38" outlineLevel="1" x14ac:dyDescent="0.2">
      <c r="A281" s="262"/>
      <c r="B281" s="234" t="s">
        <v>88</v>
      </c>
      <c r="C281" s="205" t="s">
        <v>37</v>
      </c>
      <c r="D281" s="249"/>
      <c r="E281" s="231">
        <v>-0.1</v>
      </c>
      <c r="F281" s="231">
        <f>0.2-E281</f>
        <v>0.30000000000000004</v>
      </c>
      <c r="G281" s="231">
        <v>0.4</v>
      </c>
      <c r="H281" s="231">
        <f>-0.1-G281</f>
        <v>-0.5</v>
      </c>
      <c r="I281" s="231">
        <v>0</v>
      </c>
      <c r="J281" s="231">
        <f>0-I281</f>
        <v>0</v>
      </c>
      <c r="K281" s="232">
        <f t="shared" ref="K281:AL281" si="127">K151</f>
        <v>0</v>
      </c>
      <c r="L281" s="232">
        <f t="shared" si="127"/>
        <v>0</v>
      </c>
      <c r="M281" s="232">
        <f t="shared" si="127"/>
        <v>0</v>
      </c>
      <c r="N281" s="232">
        <f t="shared" si="127"/>
        <v>0</v>
      </c>
      <c r="O281" s="232">
        <f t="shared" si="127"/>
        <v>0</v>
      </c>
      <c r="P281" s="232">
        <f t="shared" si="127"/>
        <v>0</v>
      </c>
      <c r="Q281" s="232">
        <f t="shared" si="127"/>
        <v>0</v>
      </c>
      <c r="R281" s="232">
        <f t="shared" si="127"/>
        <v>0</v>
      </c>
      <c r="S281" s="232">
        <f t="shared" si="127"/>
        <v>0</v>
      </c>
      <c r="T281" s="232">
        <f t="shared" si="127"/>
        <v>0</v>
      </c>
      <c r="U281" s="232">
        <f t="shared" si="127"/>
        <v>0</v>
      </c>
      <c r="V281" s="232">
        <f t="shared" si="127"/>
        <v>0</v>
      </c>
      <c r="W281" s="232">
        <f t="shared" si="127"/>
        <v>0</v>
      </c>
      <c r="X281" s="232">
        <f t="shared" si="127"/>
        <v>0</v>
      </c>
      <c r="Y281" s="232">
        <f t="shared" si="127"/>
        <v>0</v>
      </c>
      <c r="Z281" s="232">
        <f t="shared" si="127"/>
        <v>0</v>
      </c>
      <c r="AA281" s="232">
        <f t="shared" si="127"/>
        <v>0</v>
      </c>
      <c r="AB281" s="232">
        <f t="shared" si="127"/>
        <v>0</v>
      </c>
      <c r="AC281" s="232">
        <f t="shared" si="127"/>
        <v>0</v>
      </c>
      <c r="AD281" s="232">
        <f t="shared" si="127"/>
        <v>0</v>
      </c>
      <c r="AE281" s="232">
        <f t="shared" si="127"/>
        <v>0</v>
      </c>
      <c r="AF281" s="232">
        <f t="shared" si="127"/>
        <v>0</v>
      </c>
      <c r="AG281" s="232">
        <f t="shared" si="127"/>
        <v>0</v>
      </c>
      <c r="AH281" s="232">
        <f t="shared" si="127"/>
        <v>0</v>
      </c>
      <c r="AI281" s="232">
        <f t="shared" si="127"/>
        <v>0</v>
      </c>
      <c r="AJ281" s="232">
        <f t="shared" si="127"/>
        <v>0</v>
      </c>
      <c r="AK281" s="232">
        <f t="shared" si="127"/>
        <v>0</v>
      </c>
      <c r="AL281" s="232">
        <f t="shared" si="127"/>
        <v>0</v>
      </c>
    </row>
    <row r="282" spans="1:38" outlineLevel="1" x14ac:dyDescent="0.2">
      <c r="A282" s="262"/>
      <c r="B282" s="251" t="s">
        <v>67</v>
      </c>
      <c r="C282" s="252" t="s">
        <v>67</v>
      </c>
      <c r="D282" s="249"/>
      <c r="E282" s="254" t="s">
        <v>67</v>
      </c>
      <c r="F282" s="254" t="s">
        <v>67</v>
      </c>
      <c r="G282" s="254" t="s">
        <v>67</v>
      </c>
      <c r="H282" s="254" t="s">
        <v>67</v>
      </c>
      <c r="I282" s="254" t="s">
        <v>67</v>
      </c>
      <c r="J282" s="254" t="s">
        <v>67</v>
      </c>
      <c r="K282" s="254" t="s">
        <v>67</v>
      </c>
      <c r="L282" s="254" t="s">
        <v>67</v>
      </c>
      <c r="M282" s="254" t="s">
        <v>67</v>
      </c>
      <c r="N282" s="254" t="s">
        <v>67</v>
      </c>
      <c r="O282" s="254" t="s">
        <v>67</v>
      </c>
      <c r="P282" s="254" t="s">
        <v>67</v>
      </c>
      <c r="Q282" s="254" t="s">
        <v>67</v>
      </c>
      <c r="R282" s="254" t="s">
        <v>67</v>
      </c>
      <c r="S282" s="254" t="s">
        <v>67</v>
      </c>
      <c r="T282" s="254" t="s">
        <v>67</v>
      </c>
      <c r="U282" s="254" t="s">
        <v>67</v>
      </c>
      <c r="V282" s="254" t="s">
        <v>67</v>
      </c>
      <c r="W282" s="254" t="s">
        <v>67</v>
      </c>
      <c r="X282" s="254" t="s">
        <v>67</v>
      </c>
      <c r="Y282" s="254" t="s">
        <v>67</v>
      </c>
      <c r="Z282" s="254" t="s">
        <v>67</v>
      </c>
      <c r="AA282" s="254" t="s">
        <v>67</v>
      </c>
      <c r="AB282" s="254" t="s">
        <v>67</v>
      </c>
      <c r="AC282" s="254" t="s">
        <v>67</v>
      </c>
      <c r="AD282" s="254" t="s">
        <v>67</v>
      </c>
      <c r="AE282" s="254" t="s">
        <v>67</v>
      </c>
      <c r="AF282" s="254" t="s">
        <v>67</v>
      </c>
      <c r="AG282" s="254" t="s">
        <v>67</v>
      </c>
      <c r="AH282" s="254" t="s">
        <v>67</v>
      </c>
      <c r="AI282" s="254" t="s">
        <v>67</v>
      </c>
      <c r="AJ282" s="254" t="s">
        <v>67</v>
      </c>
      <c r="AK282" s="254" t="s">
        <v>67</v>
      </c>
      <c r="AL282" s="254" t="s">
        <v>67</v>
      </c>
    </row>
    <row r="283" spans="1:38" s="237" customFormat="1" outlineLevel="1" x14ac:dyDescent="0.2">
      <c r="A283" s="262"/>
      <c r="B283" s="239" t="s">
        <v>159</v>
      </c>
      <c r="C283" s="247" t="s">
        <v>37</v>
      </c>
      <c r="D283" s="255"/>
      <c r="E283" s="257">
        <v>8.6</v>
      </c>
      <c r="F283" s="257">
        <v>24.5</v>
      </c>
      <c r="G283" s="257">
        <v>16</v>
      </c>
      <c r="H283" s="257">
        <v>104.9</v>
      </c>
      <c r="I283" s="257">
        <v>40.799999999999997</v>
      </c>
      <c r="J283" s="257">
        <v>27.6</v>
      </c>
      <c r="K283" s="248">
        <f t="shared" ref="K283:AL283" si="128">SUM(K279:K282)</f>
        <v>26.892555806497558</v>
      </c>
      <c r="L283" s="248">
        <f t="shared" si="128"/>
        <v>29.338569229590878</v>
      </c>
      <c r="M283" s="248">
        <f t="shared" si="128"/>
        <v>31.939783849415459</v>
      </c>
      <c r="N283" s="248">
        <f t="shared" si="128"/>
        <v>35.835070516634943</v>
      </c>
      <c r="O283" s="248">
        <f t="shared" si="128"/>
        <v>40.032624768013811</v>
      </c>
      <c r="P283" s="248">
        <f t="shared" si="128"/>
        <v>45.075051409491252</v>
      </c>
      <c r="Q283" s="248">
        <f t="shared" si="128"/>
        <v>51.174293313388176</v>
      </c>
      <c r="R283" s="248">
        <f t="shared" si="128"/>
        <v>57.029758684486303</v>
      </c>
      <c r="S283" s="248">
        <f t="shared" si="128"/>
        <v>63.893465743987569</v>
      </c>
      <c r="T283" s="248">
        <f t="shared" si="128"/>
        <v>70.504095236106579</v>
      </c>
      <c r="U283" s="248">
        <f t="shared" si="128"/>
        <v>77.798861657977525</v>
      </c>
      <c r="V283" s="248">
        <f t="shared" si="128"/>
        <v>84.828307149279439</v>
      </c>
      <c r="W283" s="248">
        <f t="shared" si="128"/>
        <v>92.588693032276993</v>
      </c>
      <c r="X283" s="248">
        <f t="shared" si="128"/>
        <v>100.07804561677837</v>
      </c>
      <c r="Y283" s="248">
        <f t="shared" si="128"/>
        <v>108.33818713012715</v>
      </c>
      <c r="Z283" s="248">
        <f t="shared" si="128"/>
        <v>116.31607461411772</v>
      </c>
      <c r="AA283" s="248">
        <f t="shared" si="128"/>
        <v>125.11003662074853</v>
      </c>
      <c r="AB283" s="248">
        <f t="shared" si="128"/>
        <v>133.60920232199746</v>
      </c>
      <c r="AC283" s="248">
        <f t="shared" si="128"/>
        <v>142.97137166968815</v>
      </c>
      <c r="AD283" s="248">
        <f t="shared" si="128"/>
        <v>152.02340019042907</v>
      </c>
      <c r="AE283" s="248">
        <f t="shared" si="128"/>
        <v>161.98878255319909</v>
      </c>
      <c r="AF283" s="248">
        <f t="shared" si="128"/>
        <v>171.63063761402185</v>
      </c>
      <c r="AG283" s="248">
        <f t="shared" si="128"/>
        <v>182.23515396331729</v>
      </c>
      <c r="AH283" s="248">
        <f t="shared" si="128"/>
        <v>192.50005066612897</v>
      </c>
      <c r="AI283" s="248">
        <f t="shared" si="128"/>
        <v>203.78073348367246</v>
      </c>
      <c r="AJ283" s="248">
        <f t="shared" si="128"/>
        <v>214.70458484366776</v>
      </c>
      <c r="AK283" s="248">
        <f t="shared" si="128"/>
        <v>226.69979179878885</v>
      </c>
      <c r="AL283" s="248">
        <f t="shared" si="128"/>
        <v>238.32148507476333</v>
      </c>
    </row>
    <row r="284" spans="1:38" s="237" customFormat="1" outlineLevel="1" x14ac:dyDescent="0.2">
      <c r="A284" s="262"/>
      <c r="B284" s="268" t="s">
        <v>160</v>
      </c>
      <c r="C284" s="274" t="s">
        <v>37</v>
      </c>
      <c r="D284" s="255"/>
      <c r="E284" s="269">
        <f t="shared" ref="E284:AL284" si="129">E283-SUM(E279:E281)</f>
        <v>0</v>
      </c>
      <c r="F284" s="269">
        <f t="shared" si="129"/>
        <v>0</v>
      </c>
      <c r="G284" s="269">
        <f t="shared" si="129"/>
        <v>-0.10000000000000142</v>
      </c>
      <c r="H284" s="269">
        <f t="shared" si="129"/>
        <v>0</v>
      </c>
      <c r="I284" s="269">
        <f t="shared" si="129"/>
        <v>0</v>
      </c>
      <c r="J284" s="269">
        <f t="shared" ref="J284" si="130">J283-SUM(J279:J281)</f>
        <v>0</v>
      </c>
      <c r="K284" s="269">
        <f t="shared" si="129"/>
        <v>0</v>
      </c>
      <c r="L284" s="269">
        <f t="shared" si="129"/>
        <v>0</v>
      </c>
      <c r="M284" s="269">
        <f t="shared" si="129"/>
        <v>0</v>
      </c>
      <c r="N284" s="269">
        <f t="shared" si="129"/>
        <v>0</v>
      </c>
      <c r="O284" s="269">
        <f t="shared" si="129"/>
        <v>0</v>
      </c>
      <c r="P284" s="269">
        <f t="shared" si="129"/>
        <v>0</v>
      </c>
      <c r="Q284" s="269">
        <f t="shared" si="129"/>
        <v>0</v>
      </c>
      <c r="R284" s="269">
        <f t="shared" si="129"/>
        <v>0</v>
      </c>
      <c r="S284" s="269">
        <f t="shared" si="129"/>
        <v>0</v>
      </c>
      <c r="T284" s="269">
        <f t="shared" si="129"/>
        <v>0</v>
      </c>
      <c r="U284" s="269">
        <f t="shared" si="129"/>
        <v>0</v>
      </c>
      <c r="V284" s="269">
        <f t="shared" si="129"/>
        <v>0</v>
      </c>
      <c r="W284" s="269">
        <f t="shared" si="129"/>
        <v>0</v>
      </c>
      <c r="X284" s="269">
        <f t="shared" si="129"/>
        <v>0</v>
      </c>
      <c r="Y284" s="269">
        <f t="shared" si="129"/>
        <v>0</v>
      </c>
      <c r="Z284" s="269">
        <f t="shared" si="129"/>
        <v>0</v>
      </c>
      <c r="AA284" s="269">
        <f t="shared" si="129"/>
        <v>0</v>
      </c>
      <c r="AB284" s="269">
        <f t="shared" si="129"/>
        <v>0</v>
      </c>
      <c r="AC284" s="269">
        <f t="shared" si="129"/>
        <v>0</v>
      </c>
      <c r="AD284" s="269">
        <f t="shared" si="129"/>
        <v>0</v>
      </c>
      <c r="AE284" s="269">
        <f t="shared" si="129"/>
        <v>0</v>
      </c>
      <c r="AF284" s="269">
        <f t="shared" si="129"/>
        <v>0</v>
      </c>
      <c r="AG284" s="269">
        <f t="shared" si="129"/>
        <v>0</v>
      </c>
      <c r="AH284" s="269">
        <f t="shared" si="129"/>
        <v>0</v>
      </c>
      <c r="AI284" s="269">
        <f t="shared" si="129"/>
        <v>0</v>
      </c>
      <c r="AJ284" s="269">
        <f t="shared" si="129"/>
        <v>0</v>
      </c>
      <c r="AK284" s="269">
        <f t="shared" si="129"/>
        <v>0</v>
      </c>
      <c r="AL284" s="269">
        <f t="shared" si="129"/>
        <v>0</v>
      </c>
    </row>
    <row r="285" spans="1:38" s="595" customFormat="1" x14ac:dyDescent="0.2">
      <c r="B285" s="593" t="s">
        <v>1327</v>
      </c>
      <c r="C285" s="594" t="s">
        <v>37</v>
      </c>
      <c r="E285" s="259">
        <f>_xlfn.XLOOKUP(E8,QTR!$3:$3,QTR!$80:$80)</f>
        <v>0</v>
      </c>
      <c r="F285" s="259">
        <f>_xlfn.XLOOKUP(F8,QTR!$3:$3,QTR!$80:$80)</f>
        <v>0</v>
      </c>
      <c r="G285" s="259">
        <f>_xlfn.XLOOKUP(G8,QTR!$3:$3,QTR!$80:$80)</f>
        <v>0</v>
      </c>
      <c r="H285" s="259">
        <f>_xlfn.XLOOKUP(H8,QTR!$3:$3,QTR!$80:$80)</f>
        <v>0</v>
      </c>
      <c r="I285" s="259">
        <f>_xlfn.XLOOKUP(I8,QTR!$3:$3,QTR!$80:$80)</f>
        <v>41.0306</v>
      </c>
      <c r="J285" s="259">
        <f>_xlfn.XLOOKUP(J8,QTR!$3:$3,QTR!$80:$80)</f>
        <v>27.759899999999998</v>
      </c>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9"/>
      <c r="AI285" s="259"/>
      <c r="AJ285" s="259"/>
      <c r="AK285" s="259"/>
      <c r="AL285" s="259"/>
    </row>
    <row r="286" spans="1:38" x14ac:dyDescent="0.2">
      <c r="B286" s="226"/>
      <c r="C286" s="230"/>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c r="AA286" s="232"/>
      <c r="AB286" s="232"/>
      <c r="AC286" s="232"/>
      <c r="AD286" s="232"/>
      <c r="AE286" s="232"/>
      <c r="AF286" s="232"/>
      <c r="AG286" s="232"/>
      <c r="AH286" s="232"/>
      <c r="AI286" s="232"/>
      <c r="AJ286" s="232"/>
      <c r="AK286" s="232"/>
      <c r="AL286" s="232"/>
    </row>
    <row r="287" spans="1:38" s="242" customFormat="1" x14ac:dyDescent="0.2">
      <c r="A287" s="242" t="s">
        <v>7</v>
      </c>
      <c r="B287" s="243" t="s">
        <v>161</v>
      </c>
      <c r="C287" s="244"/>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c r="AD287" s="245"/>
      <c r="AE287" s="245"/>
      <c r="AF287" s="245"/>
      <c r="AG287" s="245"/>
      <c r="AH287" s="245"/>
      <c r="AI287" s="245"/>
      <c r="AJ287" s="245"/>
      <c r="AK287" s="245"/>
      <c r="AL287" s="245"/>
    </row>
    <row r="288" spans="1:38" outlineLevel="1" x14ac:dyDescent="0.2">
      <c r="A288" s="261"/>
      <c r="B288" s="261"/>
      <c r="C288" s="212"/>
      <c r="E288" s="213"/>
      <c r="F288" s="470"/>
      <c r="G288" s="213"/>
      <c r="H288" s="213"/>
      <c r="I288" s="213"/>
      <c r="J288" s="213"/>
      <c r="K288" s="213"/>
      <c r="L288" s="213"/>
      <c r="M288" s="213"/>
      <c r="N288" s="213"/>
      <c r="O288" s="213"/>
      <c r="P288" s="213"/>
      <c r="Q288" s="213"/>
      <c r="R288" s="213"/>
      <c r="S288" s="213"/>
      <c r="T288" s="213"/>
      <c r="U288" s="213"/>
      <c r="V288" s="213"/>
      <c r="W288" s="213"/>
      <c r="X288" s="213"/>
      <c r="Y288" s="213"/>
      <c r="Z288" s="213"/>
      <c r="AA288" s="213"/>
      <c r="AB288" s="213"/>
      <c r="AC288" s="213"/>
      <c r="AD288" s="213"/>
      <c r="AE288" s="213"/>
      <c r="AF288" s="213"/>
      <c r="AG288" s="213"/>
      <c r="AH288" s="213"/>
      <c r="AI288" s="213"/>
      <c r="AJ288" s="213"/>
      <c r="AK288" s="213"/>
      <c r="AL288" s="213"/>
    </row>
    <row r="289" spans="2:38" outlineLevel="1" x14ac:dyDescent="0.2">
      <c r="B289" s="263" t="s">
        <v>162</v>
      </c>
      <c r="C289" s="205" t="s">
        <v>37</v>
      </c>
      <c r="E289" s="231"/>
      <c r="F289" s="231">
        <v>24.5</v>
      </c>
      <c r="G289" s="231">
        <v>16</v>
      </c>
      <c r="H289" s="231">
        <v>104.9</v>
      </c>
      <c r="I289" s="231">
        <v>40.799999999999997</v>
      </c>
      <c r="J289" s="231">
        <v>27.6</v>
      </c>
      <c r="K289" s="232">
        <f t="shared" ref="K289:AL289" si="131">K283</f>
        <v>26.892555806497558</v>
      </c>
      <c r="L289" s="232">
        <f t="shared" si="131"/>
        <v>29.338569229590878</v>
      </c>
      <c r="M289" s="232">
        <f t="shared" si="131"/>
        <v>31.939783849415459</v>
      </c>
      <c r="N289" s="232">
        <f t="shared" si="131"/>
        <v>35.835070516634943</v>
      </c>
      <c r="O289" s="232">
        <f t="shared" si="131"/>
        <v>40.032624768013811</v>
      </c>
      <c r="P289" s="232">
        <f t="shared" si="131"/>
        <v>45.075051409491252</v>
      </c>
      <c r="Q289" s="232">
        <f t="shared" si="131"/>
        <v>51.174293313388176</v>
      </c>
      <c r="R289" s="232">
        <f t="shared" si="131"/>
        <v>57.029758684486303</v>
      </c>
      <c r="S289" s="232">
        <f t="shared" si="131"/>
        <v>63.893465743987569</v>
      </c>
      <c r="T289" s="232">
        <f t="shared" si="131"/>
        <v>70.504095236106579</v>
      </c>
      <c r="U289" s="232">
        <f t="shared" si="131"/>
        <v>77.798861657977525</v>
      </c>
      <c r="V289" s="232">
        <f t="shared" si="131"/>
        <v>84.828307149279439</v>
      </c>
      <c r="W289" s="232">
        <f t="shared" si="131"/>
        <v>92.588693032276993</v>
      </c>
      <c r="X289" s="232">
        <f t="shared" si="131"/>
        <v>100.07804561677837</v>
      </c>
      <c r="Y289" s="232">
        <f t="shared" si="131"/>
        <v>108.33818713012715</v>
      </c>
      <c r="Z289" s="232">
        <f t="shared" si="131"/>
        <v>116.31607461411772</v>
      </c>
      <c r="AA289" s="232">
        <f t="shared" si="131"/>
        <v>125.11003662074853</v>
      </c>
      <c r="AB289" s="232">
        <f t="shared" si="131"/>
        <v>133.60920232199746</v>
      </c>
      <c r="AC289" s="232">
        <f t="shared" si="131"/>
        <v>142.97137166968815</v>
      </c>
      <c r="AD289" s="232">
        <f t="shared" si="131"/>
        <v>152.02340019042907</v>
      </c>
      <c r="AE289" s="232">
        <f t="shared" si="131"/>
        <v>161.98878255319909</v>
      </c>
      <c r="AF289" s="232">
        <f t="shared" si="131"/>
        <v>171.63063761402185</v>
      </c>
      <c r="AG289" s="232">
        <f t="shared" si="131"/>
        <v>182.23515396331729</v>
      </c>
      <c r="AH289" s="232">
        <f t="shared" si="131"/>
        <v>192.50005066612897</v>
      </c>
      <c r="AI289" s="232">
        <f t="shared" si="131"/>
        <v>203.78073348367246</v>
      </c>
      <c r="AJ289" s="232">
        <f t="shared" si="131"/>
        <v>214.70458484366776</v>
      </c>
      <c r="AK289" s="232">
        <f t="shared" si="131"/>
        <v>226.69979179878885</v>
      </c>
      <c r="AL289" s="232">
        <f t="shared" si="131"/>
        <v>238.32148507476333</v>
      </c>
    </row>
    <row r="290" spans="2:38" outlineLevel="1" x14ac:dyDescent="0.2">
      <c r="B290" s="263" t="s">
        <v>163</v>
      </c>
      <c r="C290" s="205" t="s">
        <v>37</v>
      </c>
      <c r="E290" s="231"/>
      <c r="F290" s="231">
        <v>1</v>
      </c>
      <c r="G290" s="231">
        <v>2.1</v>
      </c>
      <c r="H290" s="231">
        <v>1.3</v>
      </c>
      <c r="I290" s="231">
        <v>1.5</v>
      </c>
      <c r="J290" s="231">
        <v>1.1000000000000001</v>
      </c>
      <c r="K290" s="232">
        <f t="shared" ref="K290:AL290" si="132">K362</f>
        <v>1.2072564705882354</v>
      </c>
      <c r="L290" s="232">
        <f t="shared" si="132"/>
        <v>1.1892313202614384</v>
      </c>
      <c r="M290" s="232">
        <f t="shared" si="132"/>
        <v>1.267619294117647</v>
      </c>
      <c r="N290" s="232">
        <f t="shared" si="132"/>
        <v>1.2486928862745101</v>
      </c>
      <c r="O290" s="232">
        <f t="shared" si="132"/>
        <v>1.3310002588235295</v>
      </c>
      <c r="P290" s="232">
        <f t="shared" si="132"/>
        <v>1.3111275305882357</v>
      </c>
      <c r="Q290" s="232">
        <f t="shared" si="132"/>
        <v>1.3975502717647061</v>
      </c>
      <c r="R290" s="232">
        <f t="shared" si="132"/>
        <v>1.3766839071176478</v>
      </c>
      <c r="S290" s="232">
        <f t="shared" si="132"/>
        <v>1.4674277853529412</v>
      </c>
      <c r="T290" s="232">
        <f t="shared" si="132"/>
        <v>1.4455181024735302</v>
      </c>
      <c r="U290" s="232">
        <f t="shared" si="132"/>
        <v>1.5407991746205887</v>
      </c>
      <c r="V290" s="232">
        <f t="shared" si="132"/>
        <v>1.517794007597207</v>
      </c>
      <c r="W290" s="232">
        <f t="shared" si="132"/>
        <v>1.6178391333516176</v>
      </c>
      <c r="X290" s="232">
        <f t="shared" si="132"/>
        <v>1.5936837079770674</v>
      </c>
      <c r="Y290" s="232">
        <f t="shared" si="132"/>
        <v>1.6987310900191983</v>
      </c>
      <c r="Z290" s="232">
        <f t="shared" si="132"/>
        <v>1.6733678933759208</v>
      </c>
      <c r="AA290" s="232">
        <f t="shared" si="132"/>
        <v>1.7836676445201585</v>
      </c>
      <c r="AB290" s="232">
        <f t="shared" si="132"/>
        <v>1.757036288044717</v>
      </c>
      <c r="AC290" s="232">
        <f t="shared" si="132"/>
        <v>1.8728510267461669</v>
      </c>
      <c r="AD290" s="232">
        <f t="shared" si="132"/>
        <v>1.844888102446953</v>
      </c>
      <c r="AE290" s="232">
        <f t="shared" si="132"/>
        <v>1.9664935780834754</v>
      </c>
      <c r="AF290" s="232">
        <f t="shared" si="132"/>
        <v>1.9371325075693002</v>
      </c>
      <c r="AG290" s="232">
        <f t="shared" si="132"/>
        <v>2.0648182569876492</v>
      </c>
      <c r="AH290" s="232">
        <f t="shared" si="132"/>
        <v>2.0339891329477662</v>
      </c>
      <c r="AI290" s="232">
        <f t="shared" si="132"/>
        <v>2.1680591698370315</v>
      </c>
      <c r="AJ290" s="232">
        <f t="shared" si="132"/>
        <v>2.1356885895951541</v>
      </c>
      <c r="AK290" s="232">
        <f t="shared" si="132"/>
        <v>2.2764621283288835</v>
      </c>
      <c r="AL290" s="232">
        <f t="shared" si="132"/>
        <v>2.2424730190749118</v>
      </c>
    </row>
    <row r="291" spans="2:38" outlineLevel="1" x14ac:dyDescent="0.2">
      <c r="B291" s="263" t="s">
        <v>164</v>
      </c>
      <c r="C291" s="205" t="s">
        <v>37</v>
      </c>
      <c r="E291" s="231"/>
      <c r="F291" s="231">
        <v>0</v>
      </c>
      <c r="G291" s="231">
        <v>0</v>
      </c>
      <c r="H291" s="231">
        <v>0</v>
      </c>
      <c r="I291" s="231">
        <v>0</v>
      </c>
      <c r="J291" s="231">
        <v>0</v>
      </c>
      <c r="K291" s="232">
        <f t="shared" ref="K291:AL291" si="133">K367</f>
        <v>0</v>
      </c>
      <c r="L291" s="232">
        <f t="shared" si="133"/>
        <v>0</v>
      </c>
      <c r="M291" s="232">
        <f t="shared" si="133"/>
        <v>0</v>
      </c>
      <c r="N291" s="232">
        <f t="shared" si="133"/>
        <v>0</v>
      </c>
      <c r="O291" s="232">
        <f t="shared" si="133"/>
        <v>0</v>
      </c>
      <c r="P291" s="232">
        <f t="shared" si="133"/>
        <v>0</v>
      </c>
      <c r="Q291" s="232">
        <f t="shared" si="133"/>
        <v>0</v>
      </c>
      <c r="R291" s="232">
        <f t="shared" si="133"/>
        <v>0</v>
      </c>
      <c r="S291" s="232">
        <f t="shared" si="133"/>
        <v>0</v>
      </c>
      <c r="T291" s="232">
        <f t="shared" si="133"/>
        <v>0</v>
      </c>
      <c r="U291" s="232">
        <f t="shared" si="133"/>
        <v>0</v>
      </c>
      <c r="V291" s="232">
        <f t="shared" si="133"/>
        <v>0</v>
      </c>
      <c r="W291" s="232">
        <f t="shared" si="133"/>
        <v>0</v>
      </c>
      <c r="X291" s="232">
        <f t="shared" si="133"/>
        <v>0</v>
      </c>
      <c r="Y291" s="232">
        <f t="shared" si="133"/>
        <v>0</v>
      </c>
      <c r="Z291" s="232">
        <f t="shared" si="133"/>
        <v>0</v>
      </c>
      <c r="AA291" s="232">
        <f t="shared" si="133"/>
        <v>0</v>
      </c>
      <c r="AB291" s="232">
        <f t="shared" si="133"/>
        <v>0</v>
      </c>
      <c r="AC291" s="232">
        <f t="shared" si="133"/>
        <v>0</v>
      </c>
      <c r="AD291" s="232">
        <f t="shared" si="133"/>
        <v>0</v>
      </c>
      <c r="AE291" s="232">
        <f t="shared" si="133"/>
        <v>0</v>
      </c>
      <c r="AF291" s="232">
        <f t="shared" si="133"/>
        <v>0</v>
      </c>
      <c r="AG291" s="232">
        <f t="shared" si="133"/>
        <v>0</v>
      </c>
      <c r="AH291" s="232">
        <f t="shared" si="133"/>
        <v>0</v>
      </c>
      <c r="AI291" s="232">
        <f t="shared" si="133"/>
        <v>0</v>
      </c>
      <c r="AJ291" s="232">
        <f t="shared" si="133"/>
        <v>0</v>
      </c>
      <c r="AK291" s="232">
        <f t="shared" si="133"/>
        <v>0</v>
      </c>
      <c r="AL291" s="232">
        <f t="shared" si="133"/>
        <v>0</v>
      </c>
    </row>
    <row r="292" spans="2:38" outlineLevel="1" x14ac:dyDescent="0.2">
      <c r="B292" s="263" t="s">
        <v>165</v>
      </c>
      <c r="C292" s="205" t="s">
        <v>37</v>
      </c>
      <c r="E292" s="231"/>
      <c r="F292" s="231">
        <v>1.5</v>
      </c>
      <c r="G292" s="231">
        <v>2</v>
      </c>
      <c r="H292" s="231">
        <v>2.2999999999999998</v>
      </c>
      <c r="I292" s="231">
        <v>2.8</v>
      </c>
      <c r="J292" s="231">
        <v>2.4</v>
      </c>
      <c r="K292" s="264">
        <f t="shared" ref="K292:AL292" si="134">J292</f>
        <v>2.4</v>
      </c>
      <c r="L292" s="264">
        <f t="shared" si="134"/>
        <v>2.4</v>
      </c>
      <c r="M292" s="264">
        <f t="shared" si="134"/>
        <v>2.4</v>
      </c>
      <c r="N292" s="264">
        <f t="shared" si="134"/>
        <v>2.4</v>
      </c>
      <c r="O292" s="264">
        <f t="shared" si="134"/>
        <v>2.4</v>
      </c>
      <c r="P292" s="264">
        <f t="shared" si="134"/>
        <v>2.4</v>
      </c>
      <c r="Q292" s="264">
        <f t="shared" si="134"/>
        <v>2.4</v>
      </c>
      <c r="R292" s="264">
        <f t="shared" si="134"/>
        <v>2.4</v>
      </c>
      <c r="S292" s="264">
        <f t="shared" si="134"/>
        <v>2.4</v>
      </c>
      <c r="T292" s="264">
        <f t="shared" si="134"/>
        <v>2.4</v>
      </c>
      <c r="U292" s="264">
        <f t="shared" si="134"/>
        <v>2.4</v>
      </c>
      <c r="V292" s="264">
        <f t="shared" si="134"/>
        <v>2.4</v>
      </c>
      <c r="W292" s="264">
        <f t="shared" si="134"/>
        <v>2.4</v>
      </c>
      <c r="X292" s="264">
        <f t="shared" si="134"/>
        <v>2.4</v>
      </c>
      <c r="Y292" s="264">
        <f t="shared" si="134"/>
        <v>2.4</v>
      </c>
      <c r="Z292" s="264">
        <f t="shared" si="134"/>
        <v>2.4</v>
      </c>
      <c r="AA292" s="264">
        <f t="shared" si="134"/>
        <v>2.4</v>
      </c>
      <c r="AB292" s="264">
        <f t="shared" si="134"/>
        <v>2.4</v>
      </c>
      <c r="AC292" s="264">
        <f t="shared" si="134"/>
        <v>2.4</v>
      </c>
      <c r="AD292" s="264">
        <f t="shared" si="134"/>
        <v>2.4</v>
      </c>
      <c r="AE292" s="264">
        <f t="shared" si="134"/>
        <v>2.4</v>
      </c>
      <c r="AF292" s="264">
        <f t="shared" si="134"/>
        <v>2.4</v>
      </c>
      <c r="AG292" s="264">
        <f t="shared" si="134"/>
        <v>2.4</v>
      </c>
      <c r="AH292" s="264">
        <f t="shared" si="134"/>
        <v>2.4</v>
      </c>
      <c r="AI292" s="264">
        <f t="shared" si="134"/>
        <v>2.4</v>
      </c>
      <c r="AJ292" s="264">
        <f t="shared" si="134"/>
        <v>2.4</v>
      </c>
      <c r="AK292" s="264">
        <f t="shared" si="134"/>
        <v>2.4</v>
      </c>
      <c r="AL292" s="264">
        <f t="shared" si="134"/>
        <v>2.4</v>
      </c>
    </row>
    <row r="293" spans="2:38" outlineLevel="1" x14ac:dyDescent="0.2">
      <c r="B293" s="270" t="s">
        <v>67</v>
      </c>
      <c r="C293" s="252" t="s">
        <v>67</v>
      </c>
      <c r="D293" s="266"/>
      <c r="E293" s="254"/>
      <c r="F293" s="254" t="s">
        <v>67</v>
      </c>
      <c r="G293" s="254" t="s">
        <v>67</v>
      </c>
      <c r="H293" s="254" t="s">
        <v>67</v>
      </c>
      <c r="I293" s="254" t="s">
        <v>67</v>
      </c>
      <c r="J293" s="254" t="s">
        <v>67</v>
      </c>
      <c r="K293" s="271" t="s">
        <v>67</v>
      </c>
      <c r="L293" s="271" t="s">
        <v>67</v>
      </c>
      <c r="M293" s="271" t="s">
        <v>67</v>
      </c>
      <c r="N293" s="271" t="s">
        <v>67</v>
      </c>
      <c r="O293" s="271" t="s">
        <v>67</v>
      </c>
      <c r="P293" s="271" t="s">
        <v>67</v>
      </c>
      <c r="Q293" s="271" t="s">
        <v>67</v>
      </c>
      <c r="R293" s="271" t="s">
        <v>67</v>
      </c>
      <c r="S293" s="271" t="s">
        <v>67</v>
      </c>
      <c r="T293" s="271" t="s">
        <v>67</v>
      </c>
      <c r="U293" s="271" t="s">
        <v>67</v>
      </c>
      <c r="V293" s="271" t="s">
        <v>67</v>
      </c>
      <c r="W293" s="271" t="s">
        <v>67</v>
      </c>
      <c r="X293" s="271" t="s">
        <v>67</v>
      </c>
      <c r="Y293" s="271" t="s">
        <v>67</v>
      </c>
      <c r="Z293" s="271" t="s">
        <v>67</v>
      </c>
      <c r="AA293" s="271" t="s">
        <v>67</v>
      </c>
      <c r="AB293" s="271" t="s">
        <v>67</v>
      </c>
      <c r="AC293" s="271" t="s">
        <v>67</v>
      </c>
      <c r="AD293" s="271" t="s">
        <v>67</v>
      </c>
      <c r="AE293" s="271" t="s">
        <v>67</v>
      </c>
      <c r="AF293" s="271" t="s">
        <v>67</v>
      </c>
      <c r="AG293" s="271" t="s">
        <v>67</v>
      </c>
      <c r="AH293" s="271" t="s">
        <v>67</v>
      </c>
      <c r="AI293" s="271" t="s">
        <v>67</v>
      </c>
      <c r="AJ293" s="271" t="s">
        <v>67</v>
      </c>
      <c r="AK293" s="271" t="s">
        <v>67</v>
      </c>
      <c r="AL293" s="271" t="s">
        <v>67</v>
      </c>
    </row>
    <row r="294" spans="2:38" s="237" customFormat="1" outlineLevel="1" x14ac:dyDescent="0.2">
      <c r="B294" s="272" t="s">
        <v>166</v>
      </c>
      <c r="C294" s="247" t="s">
        <v>37</v>
      </c>
      <c r="E294" s="229"/>
      <c r="F294" s="229">
        <f t="shared" ref="F294:AL294" si="135">SUM(F289:F293)</f>
        <v>27</v>
      </c>
      <c r="G294" s="229">
        <f t="shared" si="135"/>
        <v>20.100000000000001</v>
      </c>
      <c r="H294" s="229">
        <f t="shared" si="135"/>
        <v>108.5</v>
      </c>
      <c r="I294" s="229">
        <f t="shared" si="135"/>
        <v>45.099999999999994</v>
      </c>
      <c r="J294" s="229">
        <f t="shared" ref="J294" si="136">SUM(J289:J293)</f>
        <v>31.1</v>
      </c>
      <c r="K294" s="229">
        <f t="shared" si="135"/>
        <v>30.499812277085791</v>
      </c>
      <c r="L294" s="229">
        <f t="shared" si="135"/>
        <v>32.927800549852314</v>
      </c>
      <c r="M294" s="229">
        <f t="shared" si="135"/>
        <v>35.607403143533105</v>
      </c>
      <c r="N294" s="229">
        <f t="shared" si="135"/>
        <v>39.483763402909453</v>
      </c>
      <c r="O294" s="229">
        <f t="shared" si="135"/>
        <v>43.763625026837339</v>
      </c>
      <c r="P294" s="229">
        <f t="shared" si="135"/>
        <v>48.786178940079488</v>
      </c>
      <c r="Q294" s="229">
        <f t="shared" si="135"/>
        <v>54.971843585152882</v>
      </c>
      <c r="R294" s="229">
        <f t="shared" si="135"/>
        <v>60.806442591603947</v>
      </c>
      <c r="S294" s="229">
        <f t="shared" si="135"/>
        <v>67.760893529340521</v>
      </c>
      <c r="T294" s="229">
        <f t="shared" si="135"/>
        <v>74.349613338580113</v>
      </c>
      <c r="U294" s="229">
        <f t="shared" si="135"/>
        <v>81.739660832598119</v>
      </c>
      <c r="V294" s="229">
        <f t="shared" si="135"/>
        <v>88.746101156876648</v>
      </c>
      <c r="W294" s="229">
        <f t="shared" si="135"/>
        <v>96.606532165628622</v>
      </c>
      <c r="X294" s="229">
        <f t="shared" si="135"/>
        <v>104.07172932475544</v>
      </c>
      <c r="Y294" s="229">
        <f t="shared" si="135"/>
        <v>112.43691822014635</v>
      </c>
      <c r="Z294" s="229">
        <f t="shared" si="135"/>
        <v>120.38944250749365</v>
      </c>
      <c r="AA294" s="229">
        <f t="shared" si="135"/>
        <v>129.2937042652687</v>
      </c>
      <c r="AB294" s="229">
        <f t="shared" si="135"/>
        <v>137.76623861004219</v>
      </c>
      <c r="AC294" s="229">
        <f t="shared" si="135"/>
        <v>147.24422269643432</v>
      </c>
      <c r="AD294" s="229">
        <f t="shared" si="135"/>
        <v>156.26828829287604</v>
      </c>
      <c r="AE294" s="229">
        <f t="shared" si="135"/>
        <v>166.35527613128258</v>
      </c>
      <c r="AF294" s="229">
        <f t="shared" si="135"/>
        <v>175.96777012159114</v>
      </c>
      <c r="AG294" s="229">
        <f t="shared" si="135"/>
        <v>186.69997222030494</v>
      </c>
      <c r="AH294" s="229">
        <f t="shared" si="135"/>
        <v>196.93403979907674</v>
      </c>
      <c r="AI294" s="229">
        <f t="shared" si="135"/>
        <v>208.34879265350949</v>
      </c>
      <c r="AJ294" s="229">
        <f t="shared" si="135"/>
        <v>219.24027343326293</v>
      </c>
      <c r="AK294" s="229">
        <f t="shared" si="135"/>
        <v>231.37625392711774</v>
      </c>
      <c r="AL294" s="229">
        <f t="shared" si="135"/>
        <v>242.96395809383824</v>
      </c>
    </row>
    <row r="295" spans="2:38" outlineLevel="1" x14ac:dyDescent="0.2">
      <c r="B295" s="263"/>
      <c r="C295" s="212"/>
      <c r="E295" s="231"/>
      <c r="F295" s="231"/>
      <c r="G295" s="231"/>
      <c r="H295" s="231"/>
      <c r="I295" s="231"/>
      <c r="J295" s="231"/>
      <c r="K295" s="232"/>
      <c r="L295" s="232"/>
      <c r="M295" s="232"/>
      <c r="N295" s="232"/>
      <c r="O295" s="232"/>
      <c r="P295" s="232"/>
      <c r="Q295" s="232"/>
      <c r="R295" s="232"/>
      <c r="S295" s="232"/>
      <c r="T295" s="232"/>
      <c r="U295" s="232"/>
      <c r="V295" s="232"/>
      <c r="W295" s="232"/>
      <c r="X295" s="232"/>
      <c r="Y295" s="232"/>
      <c r="Z295" s="232"/>
      <c r="AA295" s="232"/>
      <c r="AB295" s="232"/>
      <c r="AC295" s="232"/>
      <c r="AD295" s="232"/>
      <c r="AE295" s="232"/>
      <c r="AF295" s="232"/>
      <c r="AG295" s="232"/>
      <c r="AH295" s="232"/>
      <c r="AI295" s="232"/>
      <c r="AJ295" s="232"/>
      <c r="AK295" s="232"/>
      <c r="AL295" s="232"/>
    </row>
    <row r="296" spans="2:38" outlineLevel="1" x14ac:dyDescent="0.2">
      <c r="B296" s="263" t="s">
        <v>167</v>
      </c>
      <c r="C296" s="217" t="s">
        <v>37</v>
      </c>
      <c r="E296" s="231"/>
      <c r="F296" s="231">
        <v>0</v>
      </c>
      <c r="G296" s="231">
        <v>0</v>
      </c>
      <c r="H296" s="231">
        <v>78.2</v>
      </c>
      <c r="I296" s="231">
        <v>87.7</v>
      </c>
      <c r="J296" s="231">
        <v>90.1</v>
      </c>
      <c r="K296" s="232">
        <f t="shared" ref="K296:AL296" si="137">K450</f>
        <v>90.1</v>
      </c>
      <c r="L296" s="232">
        <f t="shared" si="137"/>
        <v>90.1</v>
      </c>
      <c r="M296" s="232">
        <f t="shared" si="137"/>
        <v>90.1</v>
      </c>
      <c r="N296" s="232">
        <f t="shared" si="137"/>
        <v>90.1</v>
      </c>
      <c r="O296" s="232">
        <f t="shared" si="137"/>
        <v>90.1</v>
      </c>
      <c r="P296" s="232">
        <f t="shared" si="137"/>
        <v>90.1</v>
      </c>
      <c r="Q296" s="232">
        <f t="shared" si="137"/>
        <v>90.1</v>
      </c>
      <c r="R296" s="232">
        <f t="shared" si="137"/>
        <v>90.1</v>
      </c>
      <c r="S296" s="232">
        <f t="shared" si="137"/>
        <v>90.1</v>
      </c>
      <c r="T296" s="232">
        <f t="shared" si="137"/>
        <v>90.1</v>
      </c>
      <c r="U296" s="232">
        <f t="shared" si="137"/>
        <v>90.1</v>
      </c>
      <c r="V296" s="232">
        <f t="shared" si="137"/>
        <v>90.1</v>
      </c>
      <c r="W296" s="232">
        <f t="shared" si="137"/>
        <v>90.1</v>
      </c>
      <c r="X296" s="232">
        <f t="shared" si="137"/>
        <v>90.1</v>
      </c>
      <c r="Y296" s="232">
        <f t="shared" si="137"/>
        <v>90.1</v>
      </c>
      <c r="Z296" s="232">
        <f t="shared" si="137"/>
        <v>90.1</v>
      </c>
      <c r="AA296" s="232">
        <f t="shared" si="137"/>
        <v>90.1</v>
      </c>
      <c r="AB296" s="232">
        <f t="shared" si="137"/>
        <v>90.1</v>
      </c>
      <c r="AC296" s="232">
        <f t="shared" si="137"/>
        <v>90.1</v>
      </c>
      <c r="AD296" s="232">
        <f t="shared" si="137"/>
        <v>90.1</v>
      </c>
      <c r="AE296" s="232">
        <f t="shared" si="137"/>
        <v>90.1</v>
      </c>
      <c r="AF296" s="232">
        <f t="shared" si="137"/>
        <v>90.1</v>
      </c>
      <c r="AG296" s="232">
        <f t="shared" si="137"/>
        <v>90.1</v>
      </c>
      <c r="AH296" s="232">
        <f t="shared" si="137"/>
        <v>90.1</v>
      </c>
      <c r="AI296" s="232">
        <f t="shared" si="137"/>
        <v>90.1</v>
      </c>
      <c r="AJ296" s="232">
        <f t="shared" si="137"/>
        <v>90.1</v>
      </c>
      <c r="AK296" s="232">
        <f t="shared" si="137"/>
        <v>90.1</v>
      </c>
      <c r="AL296" s="232">
        <f t="shared" si="137"/>
        <v>90.1</v>
      </c>
    </row>
    <row r="297" spans="2:38" outlineLevel="1" x14ac:dyDescent="0.2">
      <c r="B297" s="263" t="s">
        <v>168</v>
      </c>
      <c r="C297" s="217" t="s">
        <v>37</v>
      </c>
      <c r="E297" s="231"/>
      <c r="F297" s="231">
        <v>0.4</v>
      </c>
      <c r="G297" s="231">
        <v>1.1000000000000001</v>
      </c>
      <c r="H297" s="231">
        <v>1.1000000000000001</v>
      </c>
      <c r="I297" s="231">
        <v>1.2</v>
      </c>
      <c r="J297" s="231">
        <v>1.2</v>
      </c>
      <c r="K297" s="264">
        <f t="shared" ref="K297:AL297" si="138">J297</f>
        <v>1.2</v>
      </c>
      <c r="L297" s="264">
        <f t="shared" si="138"/>
        <v>1.2</v>
      </c>
      <c r="M297" s="264">
        <f t="shared" si="138"/>
        <v>1.2</v>
      </c>
      <c r="N297" s="264">
        <f t="shared" si="138"/>
        <v>1.2</v>
      </c>
      <c r="O297" s="264">
        <f t="shared" si="138"/>
        <v>1.2</v>
      </c>
      <c r="P297" s="264">
        <f t="shared" si="138"/>
        <v>1.2</v>
      </c>
      <c r="Q297" s="264">
        <f t="shared" si="138"/>
        <v>1.2</v>
      </c>
      <c r="R297" s="264">
        <f t="shared" si="138"/>
        <v>1.2</v>
      </c>
      <c r="S297" s="264">
        <f t="shared" si="138"/>
        <v>1.2</v>
      </c>
      <c r="T297" s="264">
        <f t="shared" si="138"/>
        <v>1.2</v>
      </c>
      <c r="U297" s="264">
        <f t="shared" si="138"/>
        <v>1.2</v>
      </c>
      <c r="V297" s="264">
        <f t="shared" si="138"/>
        <v>1.2</v>
      </c>
      <c r="W297" s="264">
        <f t="shared" si="138"/>
        <v>1.2</v>
      </c>
      <c r="X297" s="264">
        <f t="shared" si="138"/>
        <v>1.2</v>
      </c>
      <c r="Y297" s="264">
        <f t="shared" si="138"/>
        <v>1.2</v>
      </c>
      <c r="Z297" s="264">
        <f t="shared" si="138"/>
        <v>1.2</v>
      </c>
      <c r="AA297" s="264">
        <f t="shared" si="138"/>
        <v>1.2</v>
      </c>
      <c r="AB297" s="264">
        <f t="shared" si="138"/>
        <v>1.2</v>
      </c>
      <c r="AC297" s="264">
        <f t="shared" si="138"/>
        <v>1.2</v>
      </c>
      <c r="AD297" s="264">
        <f t="shared" si="138"/>
        <v>1.2</v>
      </c>
      <c r="AE297" s="264">
        <f t="shared" si="138"/>
        <v>1.2</v>
      </c>
      <c r="AF297" s="264">
        <f t="shared" si="138"/>
        <v>1.2</v>
      </c>
      <c r="AG297" s="264">
        <f t="shared" si="138"/>
        <v>1.2</v>
      </c>
      <c r="AH297" s="264">
        <f t="shared" si="138"/>
        <v>1.2</v>
      </c>
      <c r="AI297" s="264">
        <f t="shared" si="138"/>
        <v>1.2</v>
      </c>
      <c r="AJ297" s="264">
        <f t="shared" si="138"/>
        <v>1.2</v>
      </c>
      <c r="AK297" s="264">
        <f t="shared" si="138"/>
        <v>1.2</v>
      </c>
      <c r="AL297" s="264">
        <f t="shared" si="138"/>
        <v>1.2</v>
      </c>
    </row>
    <row r="298" spans="2:38" outlineLevel="1" x14ac:dyDescent="0.2">
      <c r="B298" s="263" t="s">
        <v>169</v>
      </c>
      <c r="C298" s="217" t="s">
        <v>37</v>
      </c>
      <c r="E298" s="231"/>
      <c r="F298" s="231">
        <v>0.2</v>
      </c>
      <c r="G298" s="231">
        <v>5.6</v>
      </c>
      <c r="H298" s="231">
        <v>5.2</v>
      </c>
      <c r="I298" s="231">
        <v>5</v>
      </c>
      <c r="J298" s="231">
        <v>4.3</v>
      </c>
      <c r="K298" s="264">
        <f t="shared" ref="K298:AL298" si="139">J298</f>
        <v>4.3</v>
      </c>
      <c r="L298" s="264">
        <f t="shared" si="139"/>
        <v>4.3</v>
      </c>
      <c r="M298" s="264">
        <f t="shared" si="139"/>
        <v>4.3</v>
      </c>
      <c r="N298" s="264">
        <f t="shared" si="139"/>
        <v>4.3</v>
      </c>
      <c r="O298" s="264">
        <f t="shared" si="139"/>
        <v>4.3</v>
      </c>
      <c r="P298" s="264">
        <f t="shared" si="139"/>
        <v>4.3</v>
      </c>
      <c r="Q298" s="264">
        <f t="shared" si="139"/>
        <v>4.3</v>
      </c>
      <c r="R298" s="264">
        <f t="shared" si="139"/>
        <v>4.3</v>
      </c>
      <c r="S298" s="264">
        <f t="shared" si="139"/>
        <v>4.3</v>
      </c>
      <c r="T298" s="264">
        <f t="shared" si="139"/>
        <v>4.3</v>
      </c>
      <c r="U298" s="264">
        <f t="shared" si="139"/>
        <v>4.3</v>
      </c>
      <c r="V298" s="264">
        <f t="shared" si="139"/>
        <v>4.3</v>
      </c>
      <c r="W298" s="264">
        <f t="shared" si="139"/>
        <v>4.3</v>
      </c>
      <c r="X298" s="264">
        <f t="shared" si="139"/>
        <v>4.3</v>
      </c>
      <c r="Y298" s="264">
        <f t="shared" si="139"/>
        <v>4.3</v>
      </c>
      <c r="Z298" s="264">
        <f t="shared" si="139"/>
        <v>4.3</v>
      </c>
      <c r="AA298" s="264">
        <f t="shared" si="139"/>
        <v>4.3</v>
      </c>
      <c r="AB298" s="264">
        <f t="shared" si="139"/>
        <v>4.3</v>
      </c>
      <c r="AC298" s="264">
        <f t="shared" si="139"/>
        <v>4.3</v>
      </c>
      <c r="AD298" s="264">
        <f t="shared" si="139"/>
        <v>4.3</v>
      </c>
      <c r="AE298" s="264">
        <f t="shared" si="139"/>
        <v>4.3</v>
      </c>
      <c r="AF298" s="264">
        <f t="shared" si="139"/>
        <v>4.3</v>
      </c>
      <c r="AG298" s="264">
        <f t="shared" si="139"/>
        <v>4.3</v>
      </c>
      <c r="AH298" s="264">
        <f t="shared" si="139"/>
        <v>4.3</v>
      </c>
      <c r="AI298" s="264">
        <f t="shared" si="139"/>
        <v>4.3</v>
      </c>
      <c r="AJ298" s="264">
        <f t="shared" si="139"/>
        <v>4.3</v>
      </c>
      <c r="AK298" s="264">
        <f t="shared" si="139"/>
        <v>4.3</v>
      </c>
      <c r="AL298" s="264">
        <f t="shared" si="139"/>
        <v>4.3</v>
      </c>
    </row>
    <row r="299" spans="2:38" outlineLevel="1" x14ac:dyDescent="0.2">
      <c r="B299" s="263" t="s">
        <v>170</v>
      </c>
      <c r="C299" s="217" t="s">
        <v>37</v>
      </c>
      <c r="E299" s="231"/>
      <c r="F299" s="231">
        <v>0</v>
      </c>
      <c r="G299" s="231">
        <v>28.9</v>
      </c>
      <c r="H299" s="231">
        <v>40.200000000000003</v>
      </c>
      <c r="I299" s="231">
        <v>40.200000000000003</v>
      </c>
      <c r="J299" s="231">
        <v>40.200000000000003</v>
      </c>
      <c r="K299" s="264">
        <f t="shared" ref="K299:AL299" si="140">J299</f>
        <v>40.200000000000003</v>
      </c>
      <c r="L299" s="264">
        <f t="shared" si="140"/>
        <v>40.200000000000003</v>
      </c>
      <c r="M299" s="264">
        <f t="shared" si="140"/>
        <v>40.200000000000003</v>
      </c>
      <c r="N299" s="264">
        <f t="shared" si="140"/>
        <v>40.200000000000003</v>
      </c>
      <c r="O299" s="264">
        <f t="shared" si="140"/>
        <v>40.200000000000003</v>
      </c>
      <c r="P299" s="264">
        <f t="shared" si="140"/>
        <v>40.200000000000003</v>
      </c>
      <c r="Q299" s="264">
        <f t="shared" si="140"/>
        <v>40.200000000000003</v>
      </c>
      <c r="R299" s="264">
        <f t="shared" si="140"/>
        <v>40.200000000000003</v>
      </c>
      <c r="S299" s="264">
        <f t="shared" si="140"/>
        <v>40.200000000000003</v>
      </c>
      <c r="T299" s="264">
        <f t="shared" si="140"/>
        <v>40.200000000000003</v>
      </c>
      <c r="U299" s="264">
        <f t="shared" si="140"/>
        <v>40.200000000000003</v>
      </c>
      <c r="V299" s="264">
        <f t="shared" si="140"/>
        <v>40.200000000000003</v>
      </c>
      <c r="W299" s="264">
        <f t="shared" si="140"/>
        <v>40.200000000000003</v>
      </c>
      <c r="X299" s="264">
        <f t="shared" si="140"/>
        <v>40.200000000000003</v>
      </c>
      <c r="Y299" s="264">
        <f t="shared" si="140"/>
        <v>40.200000000000003</v>
      </c>
      <c r="Z299" s="264">
        <f t="shared" si="140"/>
        <v>40.200000000000003</v>
      </c>
      <c r="AA299" s="264">
        <f t="shared" si="140"/>
        <v>40.200000000000003</v>
      </c>
      <c r="AB299" s="264">
        <f t="shared" si="140"/>
        <v>40.200000000000003</v>
      </c>
      <c r="AC299" s="264">
        <f t="shared" si="140"/>
        <v>40.200000000000003</v>
      </c>
      <c r="AD299" s="264">
        <f t="shared" si="140"/>
        <v>40.200000000000003</v>
      </c>
      <c r="AE299" s="264">
        <f t="shared" si="140"/>
        <v>40.200000000000003</v>
      </c>
      <c r="AF299" s="264">
        <f t="shared" si="140"/>
        <v>40.200000000000003</v>
      </c>
      <c r="AG299" s="264">
        <f t="shared" si="140"/>
        <v>40.200000000000003</v>
      </c>
      <c r="AH299" s="264">
        <f t="shared" si="140"/>
        <v>40.200000000000003</v>
      </c>
      <c r="AI299" s="264">
        <f t="shared" si="140"/>
        <v>40.200000000000003</v>
      </c>
      <c r="AJ299" s="264">
        <f t="shared" si="140"/>
        <v>40.200000000000003</v>
      </c>
      <c r="AK299" s="264">
        <f t="shared" si="140"/>
        <v>40.200000000000003</v>
      </c>
      <c r="AL299" s="264">
        <f t="shared" si="140"/>
        <v>40.200000000000003</v>
      </c>
    </row>
    <row r="300" spans="2:38" outlineLevel="1" x14ac:dyDescent="0.2">
      <c r="B300" s="263" t="s">
        <v>171</v>
      </c>
      <c r="C300" s="217" t="s">
        <v>37</v>
      </c>
      <c r="E300" s="231"/>
      <c r="F300" s="231">
        <f>3.1-F299</f>
        <v>3.1</v>
      </c>
      <c r="G300" s="231">
        <f>68.9-G299</f>
        <v>40.000000000000007</v>
      </c>
      <c r="H300" s="231">
        <f>89.6-H299</f>
        <v>49.399999999999991</v>
      </c>
      <c r="I300" s="231">
        <f>88.4-I299</f>
        <v>48.2</v>
      </c>
      <c r="J300" s="231">
        <f>87-J299</f>
        <v>46.8</v>
      </c>
      <c r="K300" s="232">
        <f t="shared" ref="K300:AL300" si="141">K356</f>
        <v>46.761570537084395</v>
      </c>
      <c r="L300" s="232">
        <f t="shared" si="141"/>
        <v>46.65194028833649</v>
      </c>
      <c r="M300" s="232">
        <f t="shared" si="141"/>
        <v>46.882030625282006</v>
      </c>
      <c r="N300" s="232">
        <f t="shared" si="141"/>
        <v>47.007964346559383</v>
      </c>
      <c r="O300" s="232">
        <f t="shared" si="141"/>
        <v>47.464404086895001</v>
      </c>
      <c r="P300" s="232">
        <f t="shared" si="141"/>
        <v>47.788126675720065</v>
      </c>
      <c r="Q300" s="232">
        <f t="shared" si="141"/>
        <v>47.939394870033105</v>
      </c>
      <c r="R300" s="232">
        <f t="shared" si="141"/>
        <v>47.994407024537118</v>
      </c>
      <c r="S300" s="232">
        <f t="shared" si="141"/>
        <v>48.390534931279824</v>
      </c>
      <c r="T300" s="232">
        <f t="shared" si="141"/>
        <v>48.659800919841096</v>
      </c>
      <c r="U300" s="232">
        <f t="shared" si="141"/>
        <v>49.264248967129944</v>
      </c>
      <c r="V300" s="232">
        <f t="shared" si="141"/>
        <v>49.715001375849049</v>
      </c>
      <c r="W300" s="232">
        <f t="shared" si="141"/>
        <v>50.499431563544086</v>
      </c>
      <c r="X300" s="232">
        <f t="shared" si="141"/>
        <v>51.106203098345055</v>
      </c>
      <c r="Y300" s="232">
        <f t="shared" si="141"/>
        <v>52.048827441761418</v>
      </c>
      <c r="Z300" s="232">
        <f t="shared" si="141"/>
        <v>52.791978390254592</v>
      </c>
      <c r="AA300" s="232">
        <f t="shared" si="141"/>
        <v>53.876248609864348</v>
      </c>
      <c r="AB300" s="232">
        <f t="shared" si="141"/>
        <v>54.740798432302313</v>
      </c>
      <c r="AC300" s="232">
        <f t="shared" si="141"/>
        <v>55.954366823486581</v>
      </c>
      <c r="AD300" s="232">
        <f t="shared" si="141"/>
        <v>56.929067421488938</v>
      </c>
      <c r="AE300" s="232">
        <f t="shared" si="141"/>
        <v>58.262963246626825</v>
      </c>
      <c r="AF300" s="232">
        <f t="shared" si="141"/>
        <v>59.339564300402571</v>
      </c>
      <c r="AG300" s="232">
        <f t="shared" si="141"/>
        <v>60.787541492032226</v>
      </c>
      <c r="AH300" s="232">
        <f t="shared" si="141"/>
        <v>61.960208459032188</v>
      </c>
      <c r="AI300" s="232">
        <f t="shared" si="141"/>
        <v>63.518229516372728</v>
      </c>
      <c r="AJ300" s="232">
        <f t="shared" si="141"/>
        <v>64.783082989359769</v>
      </c>
      <c r="AK300" s="232">
        <f t="shared" si="141"/>
        <v>66.448911174852554</v>
      </c>
      <c r="AL300" s="232">
        <f t="shared" si="141"/>
        <v>67.803662736417067</v>
      </c>
    </row>
    <row r="301" spans="2:38" outlineLevel="1" x14ac:dyDescent="0.2">
      <c r="B301" s="263" t="s">
        <v>172</v>
      </c>
      <c r="C301" s="217" t="s">
        <v>37</v>
      </c>
      <c r="E301" s="231"/>
      <c r="F301" s="231">
        <v>6.6</v>
      </c>
      <c r="G301" s="231">
        <v>1.1000000000000001</v>
      </c>
      <c r="H301" s="231">
        <v>0</v>
      </c>
      <c r="I301" s="231">
        <v>0</v>
      </c>
      <c r="J301" s="231">
        <v>0</v>
      </c>
      <c r="K301" s="264">
        <f t="shared" ref="K301:AL301" si="142">J301</f>
        <v>0</v>
      </c>
      <c r="L301" s="264">
        <f t="shared" si="142"/>
        <v>0</v>
      </c>
      <c r="M301" s="264">
        <f t="shared" si="142"/>
        <v>0</v>
      </c>
      <c r="N301" s="264">
        <f t="shared" si="142"/>
        <v>0</v>
      </c>
      <c r="O301" s="264">
        <f t="shared" si="142"/>
        <v>0</v>
      </c>
      <c r="P301" s="264">
        <f t="shared" si="142"/>
        <v>0</v>
      </c>
      <c r="Q301" s="264">
        <f t="shared" si="142"/>
        <v>0</v>
      </c>
      <c r="R301" s="264">
        <f t="shared" si="142"/>
        <v>0</v>
      </c>
      <c r="S301" s="264">
        <f t="shared" si="142"/>
        <v>0</v>
      </c>
      <c r="T301" s="264">
        <f t="shared" si="142"/>
        <v>0</v>
      </c>
      <c r="U301" s="264">
        <f t="shared" si="142"/>
        <v>0</v>
      </c>
      <c r="V301" s="264">
        <f t="shared" si="142"/>
        <v>0</v>
      </c>
      <c r="W301" s="264">
        <f t="shared" si="142"/>
        <v>0</v>
      </c>
      <c r="X301" s="264">
        <f t="shared" si="142"/>
        <v>0</v>
      </c>
      <c r="Y301" s="264">
        <f t="shared" si="142"/>
        <v>0</v>
      </c>
      <c r="Z301" s="264">
        <f t="shared" si="142"/>
        <v>0</v>
      </c>
      <c r="AA301" s="264">
        <f t="shared" si="142"/>
        <v>0</v>
      </c>
      <c r="AB301" s="264">
        <f t="shared" si="142"/>
        <v>0</v>
      </c>
      <c r="AC301" s="264">
        <f t="shared" si="142"/>
        <v>0</v>
      </c>
      <c r="AD301" s="264">
        <f t="shared" si="142"/>
        <v>0</v>
      </c>
      <c r="AE301" s="264">
        <f t="shared" si="142"/>
        <v>0</v>
      </c>
      <c r="AF301" s="264">
        <f t="shared" si="142"/>
        <v>0</v>
      </c>
      <c r="AG301" s="264">
        <f t="shared" si="142"/>
        <v>0</v>
      </c>
      <c r="AH301" s="264">
        <f t="shared" si="142"/>
        <v>0</v>
      </c>
      <c r="AI301" s="264">
        <f t="shared" si="142"/>
        <v>0</v>
      </c>
      <c r="AJ301" s="264">
        <f t="shared" si="142"/>
        <v>0</v>
      </c>
      <c r="AK301" s="264">
        <f t="shared" si="142"/>
        <v>0</v>
      </c>
      <c r="AL301" s="264">
        <f t="shared" si="142"/>
        <v>0</v>
      </c>
    </row>
    <row r="302" spans="2:38" outlineLevel="1" x14ac:dyDescent="0.2">
      <c r="B302" s="263" t="s">
        <v>173</v>
      </c>
      <c r="C302" s="217" t="s">
        <v>37</v>
      </c>
      <c r="E302" s="231"/>
      <c r="F302" s="231">
        <v>0.1</v>
      </c>
      <c r="G302" s="231">
        <v>0.1</v>
      </c>
      <c r="H302" s="231">
        <v>0.1</v>
      </c>
      <c r="I302" s="231">
        <v>0</v>
      </c>
      <c r="J302" s="231">
        <v>0</v>
      </c>
      <c r="K302" s="264">
        <f t="shared" ref="K302:AL302" si="143">J302</f>
        <v>0</v>
      </c>
      <c r="L302" s="264">
        <f t="shared" si="143"/>
        <v>0</v>
      </c>
      <c r="M302" s="264">
        <f t="shared" si="143"/>
        <v>0</v>
      </c>
      <c r="N302" s="264">
        <f t="shared" si="143"/>
        <v>0</v>
      </c>
      <c r="O302" s="264">
        <f t="shared" si="143"/>
        <v>0</v>
      </c>
      <c r="P302" s="264">
        <f t="shared" si="143"/>
        <v>0</v>
      </c>
      <c r="Q302" s="264">
        <f t="shared" si="143"/>
        <v>0</v>
      </c>
      <c r="R302" s="264">
        <f t="shared" si="143"/>
        <v>0</v>
      </c>
      <c r="S302" s="264">
        <f t="shared" si="143"/>
        <v>0</v>
      </c>
      <c r="T302" s="264">
        <f t="shared" si="143"/>
        <v>0</v>
      </c>
      <c r="U302" s="264">
        <f t="shared" si="143"/>
        <v>0</v>
      </c>
      <c r="V302" s="264">
        <f t="shared" si="143"/>
        <v>0</v>
      </c>
      <c r="W302" s="264">
        <f t="shared" si="143"/>
        <v>0</v>
      </c>
      <c r="X302" s="264">
        <f t="shared" si="143"/>
        <v>0</v>
      </c>
      <c r="Y302" s="264">
        <f t="shared" si="143"/>
        <v>0</v>
      </c>
      <c r="Z302" s="264">
        <f t="shared" si="143"/>
        <v>0</v>
      </c>
      <c r="AA302" s="264">
        <f t="shared" si="143"/>
        <v>0</v>
      </c>
      <c r="AB302" s="264">
        <f t="shared" si="143"/>
        <v>0</v>
      </c>
      <c r="AC302" s="264">
        <f t="shared" si="143"/>
        <v>0</v>
      </c>
      <c r="AD302" s="264">
        <f t="shared" si="143"/>
        <v>0</v>
      </c>
      <c r="AE302" s="264">
        <f t="shared" si="143"/>
        <v>0</v>
      </c>
      <c r="AF302" s="264">
        <f t="shared" si="143"/>
        <v>0</v>
      </c>
      <c r="AG302" s="264">
        <f t="shared" si="143"/>
        <v>0</v>
      </c>
      <c r="AH302" s="264">
        <f t="shared" si="143"/>
        <v>0</v>
      </c>
      <c r="AI302" s="264">
        <f t="shared" si="143"/>
        <v>0</v>
      </c>
      <c r="AJ302" s="264">
        <f t="shared" si="143"/>
        <v>0</v>
      </c>
      <c r="AK302" s="264">
        <f t="shared" si="143"/>
        <v>0</v>
      </c>
      <c r="AL302" s="264">
        <f t="shared" si="143"/>
        <v>0</v>
      </c>
    </row>
    <row r="303" spans="2:38" outlineLevel="1" x14ac:dyDescent="0.2">
      <c r="B303" s="270" t="s">
        <v>67</v>
      </c>
      <c r="C303" s="252" t="s">
        <v>67</v>
      </c>
      <c r="D303" s="266"/>
      <c r="E303" s="254"/>
      <c r="F303" s="254" t="s">
        <v>67</v>
      </c>
      <c r="G303" s="254" t="s">
        <v>67</v>
      </c>
      <c r="H303" s="254" t="s">
        <v>67</v>
      </c>
      <c r="I303" s="254" t="s">
        <v>67</v>
      </c>
      <c r="J303" s="254" t="s">
        <v>67</v>
      </c>
      <c r="K303" s="271" t="s">
        <v>67</v>
      </c>
      <c r="L303" s="271" t="s">
        <v>67</v>
      </c>
      <c r="M303" s="271" t="s">
        <v>67</v>
      </c>
      <c r="N303" s="271" t="s">
        <v>67</v>
      </c>
      <c r="O303" s="271" t="s">
        <v>67</v>
      </c>
      <c r="P303" s="271" t="s">
        <v>67</v>
      </c>
      <c r="Q303" s="271" t="s">
        <v>67</v>
      </c>
      <c r="R303" s="271" t="s">
        <v>67</v>
      </c>
      <c r="S303" s="271" t="s">
        <v>67</v>
      </c>
      <c r="T303" s="271" t="s">
        <v>67</v>
      </c>
      <c r="U303" s="271" t="s">
        <v>67</v>
      </c>
      <c r="V303" s="271" t="s">
        <v>67</v>
      </c>
      <c r="W303" s="271" t="s">
        <v>67</v>
      </c>
      <c r="X303" s="271" t="s">
        <v>67</v>
      </c>
      <c r="Y303" s="271" t="s">
        <v>67</v>
      </c>
      <c r="Z303" s="271" t="s">
        <v>67</v>
      </c>
      <c r="AA303" s="271" t="s">
        <v>67</v>
      </c>
      <c r="AB303" s="271" t="s">
        <v>67</v>
      </c>
      <c r="AC303" s="271" t="s">
        <v>67</v>
      </c>
      <c r="AD303" s="271" t="s">
        <v>67</v>
      </c>
      <c r="AE303" s="271" t="s">
        <v>67</v>
      </c>
      <c r="AF303" s="271" t="s">
        <v>67</v>
      </c>
      <c r="AG303" s="271" t="s">
        <v>67</v>
      </c>
      <c r="AH303" s="271" t="s">
        <v>67</v>
      </c>
      <c r="AI303" s="271" t="s">
        <v>67</v>
      </c>
      <c r="AJ303" s="271" t="s">
        <v>67</v>
      </c>
      <c r="AK303" s="271" t="s">
        <v>67</v>
      </c>
      <c r="AL303" s="271" t="s">
        <v>67</v>
      </c>
    </row>
    <row r="304" spans="2:38" s="237" customFormat="1" outlineLevel="1" x14ac:dyDescent="0.2">
      <c r="B304" s="272" t="s">
        <v>174</v>
      </c>
      <c r="C304" s="247" t="s">
        <v>37</v>
      </c>
      <c r="E304" s="229"/>
      <c r="F304" s="229">
        <f t="shared" ref="F304:AL304" si="144">SUM(F296:F303)</f>
        <v>10.4</v>
      </c>
      <c r="G304" s="229">
        <f t="shared" si="144"/>
        <v>76.799999999999983</v>
      </c>
      <c r="H304" s="229">
        <f t="shared" si="144"/>
        <v>174.2</v>
      </c>
      <c r="I304" s="229">
        <f t="shared" si="144"/>
        <v>182.3</v>
      </c>
      <c r="J304" s="229">
        <f t="shared" ref="J304" si="145">SUM(J296:J303)</f>
        <v>182.60000000000002</v>
      </c>
      <c r="K304" s="229">
        <f t="shared" si="144"/>
        <v>182.56157053708441</v>
      </c>
      <c r="L304" s="229">
        <f t="shared" si="144"/>
        <v>182.45194028833652</v>
      </c>
      <c r="M304" s="229">
        <f t="shared" si="144"/>
        <v>182.68203062528201</v>
      </c>
      <c r="N304" s="229">
        <f t="shared" si="144"/>
        <v>182.8079643465594</v>
      </c>
      <c r="O304" s="229">
        <f t="shared" si="144"/>
        <v>183.26440408689501</v>
      </c>
      <c r="P304" s="229">
        <f t="shared" si="144"/>
        <v>183.58812667572008</v>
      </c>
      <c r="Q304" s="229">
        <f t="shared" si="144"/>
        <v>183.73939487003312</v>
      </c>
      <c r="R304" s="229">
        <f t="shared" si="144"/>
        <v>183.79440702453712</v>
      </c>
      <c r="S304" s="229">
        <f t="shared" si="144"/>
        <v>184.19053493127984</v>
      </c>
      <c r="T304" s="229">
        <f t="shared" si="144"/>
        <v>184.45980091984111</v>
      </c>
      <c r="U304" s="229">
        <f t="shared" si="144"/>
        <v>185.06424896712997</v>
      </c>
      <c r="V304" s="229">
        <f t="shared" si="144"/>
        <v>185.51500137584907</v>
      </c>
      <c r="W304" s="229">
        <f t="shared" si="144"/>
        <v>186.29943156354409</v>
      </c>
      <c r="X304" s="229">
        <f t="shared" si="144"/>
        <v>186.90620309834506</v>
      </c>
      <c r="Y304" s="229">
        <f t="shared" si="144"/>
        <v>187.84882744176144</v>
      </c>
      <c r="Z304" s="229">
        <f t="shared" si="144"/>
        <v>188.59197839025461</v>
      </c>
      <c r="AA304" s="229">
        <f t="shared" si="144"/>
        <v>189.67624860986436</v>
      </c>
      <c r="AB304" s="229">
        <f t="shared" si="144"/>
        <v>190.54079843230232</v>
      </c>
      <c r="AC304" s="229">
        <f t="shared" si="144"/>
        <v>191.75436682348658</v>
      </c>
      <c r="AD304" s="229">
        <f t="shared" si="144"/>
        <v>192.72906742148893</v>
      </c>
      <c r="AE304" s="229">
        <f t="shared" si="144"/>
        <v>194.06296324662685</v>
      </c>
      <c r="AF304" s="229">
        <f t="shared" si="144"/>
        <v>195.13956430040258</v>
      </c>
      <c r="AG304" s="229">
        <f t="shared" si="144"/>
        <v>196.58754149203224</v>
      </c>
      <c r="AH304" s="229">
        <f t="shared" si="144"/>
        <v>197.76020845903219</v>
      </c>
      <c r="AI304" s="229">
        <f t="shared" si="144"/>
        <v>199.31822951637275</v>
      </c>
      <c r="AJ304" s="229">
        <f t="shared" si="144"/>
        <v>200.58308298935978</v>
      </c>
      <c r="AK304" s="229">
        <f t="shared" si="144"/>
        <v>202.24891117485257</v>
      </c>
      <c r="AL304" s="229">
        <f t="shared" si="144"/>
        <v>203.60366273641708</v>
      </c>
    </row>
    <row r="305" spans="1:38" s="237" customFormat="1" outlineLevel="1" x14ac:dyDescent="0.2">
      <c r="A305" s="218"/>
      <c r="B305" s="239" t="s">
        <v>175</v>
      </c>
      <c r="C305" s="247" t="s">
        <v>37</v>
      </c>
      <c r="D305" s="273"/>
      <c r="E305" s="248"/>
      <c r="F305" s="248">
        <f t="shared" ref="F305:AL305" si="146">F304+F294</f>
        <v>37.4</v>
      </c>
      <c r="G305" s="248">
        <f t="shared" si="146"/>
        <v>96.899999999999977</v>
      </c>
      <c r="H305" s="248">
        <f t="shared" si="146"/>
        <v>282.7</v>
      </c>
      <c r="I305" s="248">
        <f t="shared" si="146"/>
        <v>227.4</v>
      </c>
      <c r="J305" s="248">
        <f t="shared" ref="J305" si="147">J304+J294</f>
        <v>213.70000000000002</v>
      </c>
      <c r="K305" s="229">
        <f t="shared" si="146"/>
        <v>213.0613828141702</v>
      </c>
      <c r="L305" s="229">
        <f t="shared" si="146"/>
        <v>215.37974083818884</v>
      </c>
      <c r="M305" s="229">
        <f t="shared" si="146"/>
        <v>218.28943376881512</v>
      </c>
      <c r="N305" s="229">
        <f t="shared" si="146"/>
        <v>222.29172774946886</v>
      </c>
      <c r="O305" s="229">
        <f t="shared" si="146"/>
        <v>227.02802911373234</v>
      </c>
      <c r="P305" s="229">
        <f t="shared" si="146"/>
        <v>232.37430561579956</v>
      </c>
      <c r="Q305" s="229">
        <f t="shared" si="146"/>
        <v>238.71123845518599</v>
      </c>
      <c r="R305" s="229">
        <f t="shared" si="146"/>
        <v>244.60084961614106</v>
      </c>
      <c r="S305" s="229">
        <f t="shared" si="146"/>
        <v>251.95142846062038</v>
      </c>
      <c r="T305" s="229">
        <f t="shared" si="146"/>
        <v>258.80941425842121</v>
      </c>
      <c r="U305" s="229">
        <f t="shared" si="146"/>
        <v>266.8039097997281</v>
      </c>
      <c r="V305" s="229">
        <f t="shared" si="146"/>
        <v>274.26110253272572</v>
      </c>
      <c r="W305" s="229">
        <f t="shared" si="146"/>
        <v>282.9059637291727</v>
      </c>
      <c r="X305" s="229">
        <f t="shared" si="146"/>
        <v>290.97793242310047</v>
      </c>
      <c r="Y305" s="229">
        <f t="shared" si="146"/>
        <v>300.28574566190781</v>
      </c>
      <c r="Z305" s="229">
        <f t="shared" si="146"/>
        <v>308.98142089774825</v>
      </c>
      <c r="AA305" s="229">
        <f t="shared" si="146"/>
        <v>318.96995287513306</v>
      </c>
      <c r="AB305" s="229">
        <f t="shared" si="146"/>
        <v>328.30703704234452</v>
      </c>
      <c r="AC305" s="229">
        <f t="shared" si="146"/>
        <v>338.99858951992087</v>
      </c>
      <c r="AD305" s="229">
        <f t="shared" si="146"/>
        <v>348.99735571436497</v>
      </c>
      <c r="AE305" s="229">
        <f t="shared" si="146"/>
        <v>360.41823937790946</v>
      </c>
      <c r="AF305" s="229">
        <f t="shared" si="146"/>
        <v>371.10733442199376</v>
      </c>
      <c r="AG305" s="229">
        <f t="shared" si="146"/>
        <v>383.28751371233716</v>
      </c>
      <c r="AH305" s="229">
        <f t="shared" si="146"/>
        <v>394.69424825810893</v>
      </c>
      <c r="AI305" s="229">
        <f t="shared" si="146"/>
        <v>407.66702216988222</v>
      </c>
      <c r="AJ305" s="229">
        <f t="shared" si="146"/>
        <v>419.82335642262274</v>
      </c>
      <c r="AK305" s="229">
        <f t="shared" si="146"/>
        <v>433.62516510197031</v>
      </c>
      <c r="AL305" s="229">
        <f t="shared" si="146"/>
        <v>446.56762083025535</v>
      </c>
    </row>
    <row r="306" spans="1:38" s="237" customFormat="1" outlineLevel="1" x14ac:dyDescent="0.2">
      <c r="A306" s="218"/>
      <c r="B306" s="239"/>
      <c r="C306" s="247"/>
      <c r="D306" s="273"/>
      <c r="E306" s="248"/>
      <c r="F306" s="248"/>
      <c r="G306" s="248"/>
      <c r="H306" s="248"/>
      <c r="I306" s="248"/>
      <c r="J306" s="248"/>
      <c r="K306" s="229"/>
      <c r="L306" s="229"/>
      <c r="M306" s="229"/>
      <c r="N306" s="229"/>
      <c r="O306" s="229"/>
      <c r="P306" s="229"/>
      <c r="Q306" s="229"/>
      <c r="R306" s="229"/>
      <c r="S306" s="229"/>
      <c r="T306" s="229"/>
      <c r="U306" s="229"/>
      <c r="V306" s="229"/>
      <c r="W306" s="229"/>
      <c r="X306" s="229"/>
      <c r="Y306" s="229"/>
      <c r="Z306" s="229"/>
      <c r="AA306" s="229"/>
      <c r="AB306" s="229"/>
      <c r="AC306" s="229"/>
      <c r="AD306" s="229"/>
      <c r="AE306" s="229"/>
      <c r="AF306" s="229"/>
      <c r="AG306" s="229"/>
      <c r="AH306" s="229"/>
      <c r="AI306" s="229"/>
      <c r="AJ306" s="229"/>
      <c r="AK306" s="229"/>
      <c r="AL306" s="229"/>
    </row>
    <row r="307" spans="1:38" s="237" customFormat="1" outlineLevel="1" x14ac:dyDescent="0.2">
      <c r="A307" s="218"/>
      <c r="B307" s="263" t="s">
        <v>176</v>
      </c>
      <c r="C307" s="217" t="s">
        <v>37</v>
      </c>
      <c r="D307" s="273"/>
      <c r="E307" s="231"/>
      <c r="F307" s="231">
        <v>11.6</v>
      </c>
      <c r="G307" s="231">
        <v>17.2</v>
      </c>
      <c r="H307" s="231">
        <v>20.399999999999999</v>
      </c>
      <c r="I307" s="231">
        <v>27.1</v>
      </c>
      <c r="J307" s="231">
        <v>25.4</v>
      </c>
      <c r="K307" s="232">
        <f t="shared" ref="K307:AL307" si="148">K372</f>
        <v>27.876649411764703</v>
      </c>
      <c r="L307" s="232">
        <f t="shared" si="148"/>
        <v>27.460432304218667</v>
      </c>
      <c r="M307" s="232">
        <f t="shared" si="148"/>
        <v>29.270481882352936</v>
      </c>
      <c r="N307" s="232">
        <f t="shared" si="148"/>
        <v>28.833453919429598</v>
      </c>
      <c r="O307" s="232">
        <f t="shared" si="148"/>
        <v>30.734005976470584</v>
      </c>
      <c r="P307" s="232">
        <f t="shared" si="148"/>
        <v>30.275126615401078</v>
      </c>
      <c r="Q307" s="232">
        <f t="shared" si="148"/>
        <v>32.270706275294117</v>
      </c>
      <c r="R307" s="232">
        <f t="shared" si="148"/>
        <v>31.788882946171139</v>
      </c>
      <c r="S307" s="232">
        <f t="shared" si="148"/>
        <v>33.884241589058817</v>
      </c>
      <c r="T307" s="232">
        <f t="shared" si="148"/>
        <v>33.378327093479697</v>
      </c>
      <c r="U307" s="232">
        <f t="shared" si="148"/>
        <v>35.57845366851177</v>
      </c>
      <c r="V307" s="232">
        <f t="shared" si="148"/>
        <v>35.047243448153687</v>
      </c>
      <c r="W307" s="232">
        <f t="shared" si="148"/>
        <v>37.357376351937347</v>
      </c>
      <c r="X307" s="232">
        <f t="shared" si="148"/>
        <v>36.799605620561373</v>
      </c>
      <c r="Y307" s="232">
        <f t="shared" si="148"/>
        <v>39.225245169534212</v>
      </c>
      <c r="Z307" s="232">
        <f t="shared" si="148"/>
        <v>38.639585901589442</v>
      </c>
      <c r="AA307" s="232">
        <f t="shared" si="148"/>
        <v>41.186507428010927</v>
      </c>
      <c r="AB307" s="232">
        <f t="shared" si="148"/>
        <v>40.571565196668914</v>
      </c>
      <c r="AC307" s="232">
        <f t="shared" si="148"/>
        <v>43.245832799411481</v>
      </c>
      <c r="AD307" s="232">
        <f t="shared" si="148"/>
        <v>42.600143456502366</v>
      </c>
      <c r="AE307" s="232">
        <f t="shared" si="148"/>
        <v>45.408124439382064</v>
      </c>
      <c r="AF307" s="232">
        <f t="shared" si="148"/>
        <v>44.730150629327476</v>
      </c>
      <c r="AG307" s="232">
        <f t="shared" si="148"/>
        <v>47.678530661351168</v>
      </c>
      <c r="AH307" s="232">
        <f t="shared" si="148"/>
        <v>46.96665816079387</v>
      </c>
      <c r="AI307" s="232">
        <f t="shared" si="148"/>
        <v>50.06245719441872</v>
      </c>
      <c r="AJ307" s="232">
        <f t="shared" si="148"/>
        <v>49.314991068833557</v>
      </c>
      <c r="AK307" s="232">
        <f t="shared" si="148"/>
        <v>52.565580054139666</v>
      </c>
      <c r="AL307" s="232">
        <f t="shared" si="148"/>
        <v>51.780740622275232</v>
      </c>
    </row>
    <row r="308" spans="1:38" s="237" customFormat="1" outlineLevel="1" x14ac:dyDescent="0.2">
      <c r="A308" s="218"/>
      <c r="B308" s="263" t="s">
        <v>177</v>
      </c>
      <c r="C308" s="217" t="s">
        <v>37</v>
      </c>
      <c r="D308" s="273"/>
      <c r="E308" s="231"/>
      <c r="F308" s="231">
        <v>0</v>
      </c>
      <c r="G308" s="231">
        <v>0</v>
      </c>
      <c r="H308" s="231">
        <v>0</v>
      </c>
      <c r="I308" s="231">
        <v>0</v>
      </c>
      <c r="J308" s="231">
        <v>0</v>
      </c>
      <c r="K308" s="232">
        <f t="shared" ref="K308:AL308" si="149">K393</f>
        <v>0</v>
      </c>
      <c r="L308" s="232">
        <f t="shared" si="149"/>
        <v>0</v>
      </c>
      <c r="M308" s="232">
        <f t="shared" si="149"/>
        <v>0</v>
      </c>
      <c r="N308" s="232">
        <f t="shared" si="149"/>
        <v>0</v>
      </c>
      <c r="O308" s="232">
        <f t="shared" si="149"/>
        <v>0</v>
      </c>
      <c r="P308" s="232">
        <f t="shared" si="149"/>
        <v>0</v>
      </c>
      <c r="Q308" s="232">
        <f t="shared" si="149"/>
        <v>0</v>
      </c>
      <c r="R308" s="232">
        <f t="shared" si="149"/>
        <v>0</v>
      </c>
      <c r="S308" s="232">
        <f t="shared" si="149"/>
        <v>0</v>
      </c>
      <c r="T308" s="232">
        <f t="shared" si="149"/>
        <v>0</v>
      </c>
      <c r="U308" s="232">
        <f t="shared" si="149"/>
        <v>0</v>
      </c>
      <c r="V308" s="232">
        <f t="shared" si="149"/>
        <v>0</v>
      </c>
      <c r="W308" s="232">
        <f t="shared" si="149"/>
        <v>0</v>
      </c>
      <c r="X308" s="232">
        <f t="shared" si="149"/>
        <v>0</v>
      </c>
      <c r="Y308" s="232">
        <f t="shared" si="149"/>
        <v>0</v>
      </c>
      <c r="Z308" s="232">
        <f t="shared" si="149"/>
        <v>0</v>
      </c>
      <c r="AA308" s="232">
        <f t="shared" si="149"/>
        <v>0</v>
      </c>
      <c r="AB308" s="232">
        <f t="shared" si="149"/>
        <v>0</v>
      </c>
      <c r="AC308" s="232">
        <f t="shared" si="149"/>
        <v>0</v>
      </c>
      <c r="AD308" s="232">
        <f t="shared" si="149"/>
        <v>0</v>
      </c>
      <c r="AE308" s="232">
        <f t="shared" si="149"/>
        <v>0</v>
      </c>
      <c r="AF308" s="232">
        <f t="shared" si="149"/>
        <v>0</v>
      </c>
      <c r="AG308" s="232">
        <f t="shared" si="149"/>
        <v>0</v>
      </c>
      <c r="AH308" s="232">
        <f t="shared" si="149"/>
        <v>0</v>
      </c>
      <c r="AI308" s="232">
        <f t="shared" si="149"/>
        <v>0</v>
      </c>
      <c r="AJ308" s="232">
        <f t="shared" si="149"/>
        <v>0</v>
      </c>
      <c r="AK308" s="232">
        <f t="shared" si="149"/>
        <v>0</v>
      </c>
      <c r="AL308" s="232">
        <f t="shared" si="149"/>
        <v>0</v>
      </c>
    </row>
    <row r="309" spans="1:38" s="237" customFormat="1" outlineLevel="1" x14ac:dyDescent="0.2">
      <c r="A309" s="218"/>
      <c r="B309" s="263" t="s">
        <v>178</v>
      </c>
      <c r="C309" s="217" t="s">
        <v>37</v>
      </c>
      <c r="D309" s="273"/>
      <c r="E309" s="231"/>
      <c r="F309" s="231">
        <v>0</v>
      </c>
      <c r="G309" s="231">
        <v>0</v>
      </c>
      <c r="H309" s="231">
        <v>33.299999999999997</v>
      </c>
      <c r="I309" s="231">
        <v>33.799999999999997</v>
      </c>
      <c r="J309" s="231">
        <v>0</v>
      </c>
      <c r="K309" s="232">
        <f t="shared" ref="K309:AL309" si="150">K399</f>
        <v>0</v>
      </c>
      <c r="L309" s="232">
        <f t="shared" si="150"/>
        <v>0</v>
      </c>
      <c r="M309" s="232">
        <f t="shared" si="150"/>
        <v>0</v>
      </c>
      <c r="N309" s="232">
        <f t="shared" si="150"/>
        <v>0</v>
      </c>
      <c r="O309" s="232">
        <f t="shared" si="150"/>
        <v>0</v>
      </c>
      <c r="P309" s="232">
        <f t="shared" si="150"/>
        <v>0</v>
      </c>
      <c r="Q309" s="232">
        <f t="shared" si="150"/>
        <v>0</v>
      </c>
      <c r="R309" s="232">
        <f t="shared" si="150"/>
        <v>0</v>
      </c>
      <c r="S309" s="232">
        <f t="shared" si="150"/>
        <v>0</v>
      </c>
      <c r="T309" s="232">
        <f t="shared" si="150"/>
        <v>0</v>
      </c>
      <c r="U309" s="232">
        <f t="shared" si="150"/>
        <v>0</v>
      </c>
      <c r="V309" s="232">
        <f t="shared" si="150"/>
        <v>0</v>
      </c>
      <c r="W309" s="232">
        <f t="shared" si="150"/>
        <v>0</v>
      </c>
      <c r="X309" s="232">
        <f t="shared" si="150"/>
        <v>0</v>
      </c>
      <c r="Y309" s="232">
        <f t="shared" si="150"/>
        <v>0</v>
      </c>
      <c r="Z309" s="232">
        <f t="shared" si="150"/>
        <v>0</v>
      </c>
      <c r="AA309" s="232">
        <f t="shared" si="150"/>
        <v>0</v>
      </c>
      <c r="AB309" s="232">
        <f t="shared" si="150"/>
        <v>0</v>
      </c>
      <c r="AC309" s="232">
        <f t="shared" si="150"/>
        <v>0</v>
      </c>
      <c r="AD309" s="232">
        <f t="shared" si="150"/>
        <v>0</v>
      </c>
      <c r="AE309" s="232">
        <f t="shared" si="150"/>
        <v>0</v>
      </c>
      <c r="AF309" s="232">
        <f t="shared" si="150"/>
        <v>0</v>
      </c>
      <c r="AG309" s="232">
        <f t="shared" si="150"/>
        <v>0</v>
      </c>
      <c r="AH309" s="232">
        <f t="shared" si="150"/>
        <v>0</v>
      </c>
      <c r="AI309" s="232">
        <f t="shared" si="150"/>
        <v>0</v>
      </c>
      <c r="AJ309" s="232">
        <f t="shared" si="150"/>
        <v>0</v>
      </c>
      <c r="AK309" s="232">
        <f t="shared" si="150"/>
        <v>0</v>
      </c>
      <c r="AL309" s="232">
        <f t="shared" si="150"/>
        <v>0</v>
      </c>
    </row>
    <row r="310" spans="1:38" s="237" customFormat="1" outlineLevel="1" x14ac:dyDescent="0.2">
      <c r="A310" s="218"/>
      <c r="B310" s="263" t="s">
        <v>179</v>
      </c>
      <c r="C310" s="217" t="s">
        <v>37</v>
      </c>
      <c r="D310" s="273"/>
      <c r="E310" s="231"/>
      <c r="F310" s="231">
        <v>0.4</v>
      </c>
      <c r="G310" s="231">
        <v>1</v>
      </c>
      <c r="H310" s="231">
        <v>1</v>
      </c>
      <c r="I310" s="231">
        <v>1.2</v>
      </c>
      <c r="J310" s="231">
        <v>1.2</v>
      </c>
      <c r="K310" s="264">
        <f t="shared" ref="K310:AL310" si="151">J310</f>
        <v>1.2</v>
      </c>
      <c r="L310" s="264">
        <f t="shared" si="151"/>
        <v>1.2</v>
      </c>
      <c r="M310" s="264">
        <f t="shared" si="151"/>
        <v>1.2</v>
      </c>
      <c r="N310" s="264">
        <f t="shared" si="151"/>
        <v>1.2</v>
      </c>
      <c r="O310" s="264">
        <f t="shared" si="151"/>
        <v>1.2</v>
      </c>
      <c r="P310" s="264">
        <f t="shared" si="151"/>
        <v>1.2</v>
      </c>
      <c r="Q310" s="264">
        <f t="shared" si="151"/>
        <v>1.2</v>
      </c>
      <c r="R310" s="264">
        <f t="shared" si="151"/>
        <v>1.2</v>
      </c>
      <c r="S310" s="264">
        <f t="shared" si="151"/>
        <v>1.2</v>
      </c>
      <c r="T310" s="264">
        <f t="shared" si="151"/>
        <v>1.2</v>
      </c>
      <c r="U310" s="264">
        <f t="shared" si="151"/>
        <v>1.2</v>
      </c>
      <c r="V310" s="264">
        <f t="shared" si="151"/>
        <v>1.2</v>
      </c>
      <c r="W310" s="264">
        <f t="shared" si="151"/>
        <v>1.2</v>
      </c>
      <c r="X310" s="264">
        <f t="shared" si="151"/>
        <v>1.2</v>
      </c>
      <c r="Y310" s="264">
        <f t="shared" si="151"/>
        <v>1.2</v>
      </c>
      <c r="Z310" s="264">
        <f t="shared" si="151"/>
        <v>1.2</v>
      </c>
      <c r="AA310" s="264">
        <f t="shared" si="151"/>
        <v>1.2</v>
      </c>
      <c r="AB310" s="264">
        <f t="shared" si="151"/>
        <v>1.2</v>
      </c>
      <c r="AC310" s="264">
        <f t="shared" si="151"/>
        <v>1.2</v>
      </c>
      <c r="AD310" s="264">
        <f t="shared" si="151"/>
        <v>1.2</v>
      </c>
      <c r="AE310" s="264">
        <f t="shared" si="151"/>
        <v>1.2</v>
      </c>
      <c r="AF310" s="264">
        <f t="shared" si="151"/>
        <v>1.2</v>
      </c>
      <c r="AG310" s="264">
        <f t="shared" si="151"/>
        <v>1.2</v>
      </c>
      <c r="AH310" s="264">
        <f t="shared" si="151"/>
        <v>1.2</v>
      </c>
      <c r="AI310" s="264">
        <f t="shared" si="151"/>
        <v>1.2</v>
      </c>
      <c r="AJ310" s="264">
        <f t="shared" si="151"/>
        <v>1.2</v>
      </c>
      <c r="AK310" s="264">
        <f t="shared" si="151"/>
        <v>1.2</v>
      </c>
      <c r="AL310" s="264">
        <f t="shared" si="151"/>
        <v>1.2</v>
      </c>
    </row>
    <row r="311" spans="1:38" s="237" customFormat="1" outlineLevel="1" x14ac:dyDescent="0.2">
      <c r="A311" s="218"/>
      <c r="B311" s="263" t="s">
        <v>180</v>
      </c>
      <c r="C311" s="217" t="s">
        <v>37</v>
      </c>
      <c r="D311" s="273"/>
      <c r="E311" s="231"/>
      <c r="F311" s="231">
        <v>2.1</v>
      </c>
      <c r="G311" s="231">
        <v>3</v>
      </c>
      <c r="H311" s="231">
        <v>4.5</v>
      </c>
      <c r="I311" s="231">
        <v>3.3</v>
      </c>
      <c r="J311" s="231">
        <v>3.5</v>
      </c>
      <c r="K311" s="264">
        <f t="shared" ref="K311:AL311" si="152">J311</f>
        <v>3.5</v>
      </c>
      <c r="L311" s="264">
        <f t="shared" si="152"/>
        <v>3.5</v>
      </c>
      <c r="M311" s="264">
        <f t="shared" si="152"/>
        <v>3.5</v>
      </c>
      <c r="N311" s="264">
        <f t="shared" si="152"/>
        <v>3.5</v>
      </c>
      <c r="O311" s="264">
        <f t="shared" si="152"/>
        <v>3.5</v>
      </c>
      <c r="P311" s="264">
        <f t="shared" si="152"/>
        <v>3.5</v>
      </c>
      <c r="Q311" s="264">
        <f t="shared" si="152"/>
        <v>3.5</v>
      </c>
      <c r="R311" s="264">
        <f t="shared" si="152"/>
        <v>3.5</v>
      </c>
      <c r="S311" s="264">
        <f t="shared" si="152"/>
        <v>3.5</v>
      </c>
      <c r="T311" s="264">
        <f t="shared" si="152"/>
        <v>3.5</v>
      </c>
      <c r="U311" s="264">
        <f t="shared" si="152"/>
        <v>3.5</v>
      </c>
      <c r="V311" s="264">
        <f t="shared" si="152"/>
        <v>3.5</v>
      </c>
      <c r="W311" s="264">
        <f t="shared" si="152"/>
        <v>3.5</v>
      </c>
      <c r="X311" s="264">
        <f t="shared" si="152"/>
        <v>3.5</v>
      </c>
      <c r="Y311" s="264">
        <f t="shared" si="152"/>
        <v>3.5</v>
      </c>
      <c r="Z311" s="264">
        <f t="shared" si="152"/>
        <v>3.5</v>
      </c>
      <c r="AA311" s="264">
        <f t="shared" si="152"/>
        <v>3.5</v>
      </c>
      <c r="AB311" s="264">
        <f t="shared" si="152"/>
        <v>3.5</v>
      </c>
      <c r="AC311" s="264">
        <f t="shared" si="152"/>
        <v>3.5</v>
      </c>
      <c r="AD311" s="264">
        <f t="shared" si="152"/>
        <v>3.5</v>
      </c>
      <c r="AE311" s="264">
        <f t="shared" si="152"/>
        <v>3.5</v>
      </c>
      <c r="AF311" s="264">
        <f t="shared" si="152"/>
        <v>3.5</v>
      </c>
      <c r="AG311" s="264">
        <f t="shared" si="152"/>
        <v>3.5</v>
      </c>
      <c r="AH311" s="264">
        <f t="shared" si="152"/>
        <v>3.5</v>
      </c>
      <c r="AI311" s="264">
        <f t="shared" si="152"/>
        <v>3.5</v>
      </c>
      <c r="AJ311" s="264">
        <f t="shared" si="152"/>
        <v>3.5</v>
      </c>
      <c r="AK311" s="264">
        <f t="shared" si="152"/>
        <v>3.5</v>
      </c>
      <c r="AL311" s="264">
        <f t="shared" si="152"/>
        <v>3.5</v>
      </c>
    </row>
    <row r="312" spans="1:38" s="237" customFormat="1" outlineLevel="1" x14ac:dyDescent="0.2">
      <c r="A312" s="218"/>
      <c r="B312" s="263" t="s">
        <v>181</v>
      </c>
      <c r="C312" s="217" t="s">
        <v>37</v>
      </c>
      <c r="D312" s="273"/>
      <c r="E312" s="231"/>
      <c r="F312" s="231">
        <v>0</v>
      </c>
      <c r="G312" s="231">
        <v>1.3</v>
      </c>
      <c r="H312" s="231">
        <v>0</v>
      </c>
      <c r="I312" s="231">
        <v>0</v>
      </c>
      <c r="J312" s="231">
        <v>0</v>
      </c>
      <c r="K312" s="264">
        <f t="shared" ref="K312:AL312" si="153">J312</f>
        <v>0</v>
      </c>
      <c r="L312" s="264">
        <f t="shared" si="153"/>
        <v>0</v>
      </c>
      <c r="M312" s="264">
        <f t="shared" si="153"/>
        <v>0</v>
      </c>
      <c r="N312" s="264">
        <f t="shared" si="153"/>
        <v>0</v>
      </c>
      <c r="O312" s="264">
        <f t="shared" si="153"/>
        <v>0</v>
      </c>
      <c r="P312" s="264">
        <f t="shared" si="153"/>
        <v>0</v>
      </c>
      <c r="Q312" s="264">
        <f t="shared" si="153"/>
        <v>0</v>
      </c>
      <c r="R312" s="264">
        <f t="shared" si="153"/>
        <v>0</v>
      </c>
      <c r="S312" s="264">
        <f t="shared" si="153"/>
        <v>0</v>
      </c>
      <c r="T312" s="264">
        <f t="shared" si="153"/>
        <v>0</v>
      </c>
      <c r="U312" s="264">
        <f t="shared" si="153"/>
        <v>0</v>
      </c>
      <c r="V312" s="264">
        <f t="shared" si="153"/>
        <v>0</v>
      </c>
      <c r="W312" s="264">
        <f t="shared" si="153"/>
        <v>0</v>
      </c>
      <c r="X312" s="264">
        <f t="shared" si="153"/>
        <v>0</v>
      </c>
      <c r="Y312" s="264">
        <f t="shared" si="153"/>
        <v>0</v>
      </c>
      <c r="Z312" s="264">
        <f t="shared" si="153"/>
        <v>0</v>
      </c>
      <c r="AA312" s="264">
        <f t="shared" si="153"/>
        <v>0</v>
      </c>
      <c r="AB312" s="264">
        <f t="shared" si="153"/>
        <v>0</v>
      </c>
      <c r="AC312" s="264">
        <f t="shared" si="153"/>
        <v>0</v>
      </c>
      <c r="AD312" s="264">
        <f t="shared" si="153"/>
        <v>0</v>
      </c>
      <c r="AE312" s="264">
        <f t="shared" si="153"/>
        <v>0</v>
      </c>
      <c r="AF312" s="264">
        <f t="shared" si="153"/>
        <v>0</v>
      </c>
      <c r="AG312" s="264">
        <f t="shared" si="153"/>
        <v>0</v>
      </c>
      <c r="AH312" s="264">
        <f t="shared" si="153"/>
        <v>0</v>
      </c>
      <c r="AI312" s="264">
        <f t="shared" si="153"/>
        <v>0</v>
      </c>
      <c r="AJ312" s="264">
        <f t="shared" si="153"/>
        <v>0</v>
      </c>
      <c r="AK312" s="264">
        <f t="shared" si="153"/>
        <v>0</v>
      </c>
      <c r="AL312" s="264">
        <f t="shared" si="153"/>
        <v>0</v>
      </c>
    </row>
    <row r="313" spans="1:38" s="237" customFormat="1" outlineLevel="1" x14ac:dyDescent="0.2">
      <c r="A313" s="218"/>
      <c r="B313" s="263" t="s">
        <v>182</v>
      </c>
      <c r="C313" s="217" t="s">
        <v>37</v>
      </c>
      <c r="D313" s="273"/>
      <c r="E313" s="231"/>
      <c r="F313" s="231">
        <v>5.2</v>
      </c>
      <c r="G313" s="231">
        <v>11.8</v>
      </c>
      <c r="H313" s="231">
        <v>13.4</v>
      </c>
      <c r="I313" s="231">
        <v>14.1</v>
      </c>
      <c r="J313" s="231">
        <v>11</v>
      </c>
      <c r="K313" s="264">
        <f t="shared" ref="K313:AL313" si="154">J313</f>
        <v>11</v>
      </c>
      <c r="L313" s="264">
        <f t="shared" si="154"/>
        <v>11</v>
      </c>
      <c r="M313" s="264">
        <f t="shared" si="154"/>
        <v>11</v>
      </c>
      <c r="N313" s="264">
        <f t="shared" si="154"/>
        <v>11</v>
      </c>
      <c r="O313" s="264">
        <f t="shared" si="154"/>
        <v>11</v>
      </c>
      <c r="P313" s="264">
        <f t="shared" si="154"/>
        <v>11</v>
      </c>
      <c r="Q313" s="264">
        <f t="shared" si="154"/>
        <v>11</v>
      </c>
      <c r="R313" s="264">
        <f t="shared" si="154"/>
        <v>11</v>
      </c>
      <c r="S313" s="264">
        <f t="shared" si="154"/>
        <v>11</v>
      </c>
      <c r="T313" s="264">
        <f t="shared" si="154"/>
        <v>11</v>
      </c>
      <c r="U313" s="264">
        <f t="shared" si="154"/>
        <v>11</v>
      </c>
      <c r="V313" s="264">
        <f t="shared" si="154"/>
        <v>11</v>
      </c>
      <c r="W313" s="264">
        <f t="shared" si="154"/>
        <v>11</v>
      </c>
      <c r="X313" s="264">
        <f t="shared" si="154"/>
        <v>11</v>
      </c>
      <c r="Y313" s="264">
        <f t="shared" si="154"/>
        <v>11</v>
      </c>
      <c r="Z313" s="264">
        <f t="shared" si="154"/>
        <v>11</v>
      </c>
      <c r="AA313" s="264">
        <f t="shared" si="154"/>
        <v>11</v>
      </c>
      <c r="AB313" s="264">
        <f t="shared" si="154"/>
        <v>11</v>
      </c>
      <c r="AC313" s="264">
        <f t="shared" si="154"/>
        <v>11</v>
      </c>
      <c r="AD313" s="264">
        <f t="shared" si="154"/>
        <v>11</v>
      </c>
      <c r="AE313" s="264">
        <f t="shared" si="154"/>
        <v>11</v>
      </c>
      <c r="AF313" s="264">
        <f t="shared" si="154"/>
        <v>11</v>
      </c>
      <c r="AG313" s="264">
        <f t="shared" si="154"/>
        <v>11</v>
      </c>
      <c r="AH313" s="264">
        <f t="shared" si="154"/>
        <v>11</v>
      </c>
      <c r="AI313" s="264">
        <f t="shared" si="154"/>
        <v>11</v>
      </c>
      <c r="AJ313" s="264">
        <f t="shared" si="154"/>
        <v>11</v>
      </c>
      <c r="AK313" s="264">
        <f t="shared" si="154"/>
        <v>11</v>
      </c>
      <c r="AL313" s="264">
        <f t="shared" si="154"/>
        <v>11</v>
      </c>
    </row>
    <row r="314" spans="1:38" s="237" customFormat="1" outlineLevel="1" x14ac:dyDescent="0.2">
      <c r="A314" s="218"/>
      <c r="B314" s="263" t="s">
        <v>183</v>
      </c>
      <c r="C314" s="217" t="s">
        <v>37</v>
      </c>
      <c r="D314" s="273"/>
      <c r="E314" s="231"/>
      <c r="F314" s="231">
        <v>0</v>
      </c>
      <c r="G314" s="231">
        <v>0</v>
      </c>
      <c r="H314" s="231">
        <v>0</v>
      </c>
      <c r="I314" s="231">
        <v>0</v>
      </c>
      <c r="J314" s="231">
        <v>0.2</v>
      </c>
      <c r="K314" s="264">
        <f t="shared" ref="K314:AL314" si="155">J314</f>
        <v>0.2</v>
      </c>
      <c r="L314" s="264">
        <f t="shared" si="155"/>
        <v>0.2</v>
      </c>
      <c r="M314" s="264">
        <f t="shared" si="155"/>
        <v>0.2</v>
      </c>
      <c r="N314" s="264">
        <f t="shared" si="155"/>
        <v>0.2</v>
      </c>
      <c r="O314" s="264">
        <f t="shared" si="155"/>
        <v>0.2</v>
      </c>
      <c r="P314" s="264">
        <f t="shared" si="155"/>
        <v>0.2</v>
      </c>
      <c r="Q314" s="264">
        <f t="shared" si="155"/>
        <v>0.2</v>
      </c>
      <c r="R314" s="264">
        <f t="shared" si="155"/>
        <v>0.2</v>
      </c>
      <c r="S314" s="264">
        <f t="shared" si="155"/>
        <v>0.2</v>
      </c>
      <c r="T314" s="264">
        <f t="shared" si="155"/>
        <v>0.2</v>
      </c>
      <c r="U314" s="264">
        <f t="shared" si="155"/>
        <v>0.2</v>
      </c>
      <c r="V314" s="264">
        <f t="shared" si="155"/>
        <v>0.2</v>
      </c>
      <c r="W314" s="264">
        <f t="shared" si="155"/>
        <v>0.2</v>
      </c>
      <c r="X314" s="264">
        <f t="shared" si="155"/>
        <v>0.2</v>
      </c>
      <c r="Y314" s="264">
        <f t="shared" si="155"/>
        <v>0.2</v>
      </c>
      <c r="Z314" s="264">
        <f t="shared" si="155"/>
        <v>0.2</v>
      </c>
      <c r="AA314" s="264">
        <f t="shared" si="155"/>
        <v>0.2</v>
      </c>
      <c r="AB314" s="264">
        <f t="shared" si="155"/>
        <v>0.2</v>
      </c>
      <c r="AC314" s="264">
        <f t="shared" si="155"/>
        <v>0.2</v>
      </c>
      <c r="AD314" s="264">
        <f t="shared" si="155"/>
        <v>0.2</v>
      </c>
      <c r="AE314" s="264">
        <f t="shared" si="155"/>
        <v>0.2</v>
      </c>
      <c r="AF314" s="264">
        <f t="shared" si="155"/>
        <v>0.2</v>
      </c>
      <c r="AG314" s="264">
        <f t="shared" si="155"/>
        <v>0.2</v>
      </c>
      <c r="AH314" s="264">
        <f t="shared" si="155"/>
        <v>0.2</v>
      </c>
      <c r="AI314" s="264">
        <f t="shared" si="155"/>
        <v>0.2</v>
      </c>
      <c r="AJ314" s="264">
        <f t="shared" si="155"/>
        <v>0.2</v>
      </c>
      <c r="AK314" s="264">
        <f t="shared" si="155"/>
        <v>0.2</v>
      </c>
      <c r="AL314" s="264">
        <f t="shared" si="155"/>
        <v>0.2</v>
      </c>
    </row>
    <row r="315" spans="1:38" outlineLevel="1" x14ac:dyDescent="0.2">
      <c r="B315" s="270" t="s">
        <v>67</v>
      </c>
      <c r="C315" s="252" t="s">
        <v>67</v>
      </c>
      <c r="D315" s="266"/>
      <c r="E315" s="254"/>
      <c r="F315" s="254" t="s">
        <v>67</v>
      </c>
      <c r="G315" s="254" t="s">
        <v>67</v>
      </c>
      <c r="H315" s="254" t="s">
        <v>67</v>
      </c>
      <c r="I315" s="254" t="s">
        <v>67</v>
      </c>
      <c r="J315" s="254" t="s">
        <v>67</v>
      </c>
      <c r="K315" s="271" t="s">
        <v>67</v>
      </c>
      <c r="L315" s="271" t="s">
        <v>67</v>
      </c>
      <c r="M315" s="271" t="s">
        <v>67</v>
      </c>
      <c r="N315" s="271" t="s">
        <v>67</v>
      </c>
      <c r="O315" s="271" t="s">
        <v>67</v>
      </c>
      <c r="P315" s="271" t="s">
        <v>67</v>
      </c>
      <c r="Q315" s="271" t="s">
        <v>67</v>
      </c>
      <c r="R315" s="271" t="s">
        <v>67</v>
      </c>
      <c r="S315" s="271" t="s">
        <v>67</v>
      </c>
      <c r="T315" s="271" t="s">
        <v>67</v>
      </c>
      <c r="U315" s="271" t="s">
        <v>67</v>
      </c>
      <c r="V315" s="271" t="s">
        <v>67</v>
      </c>
      <c r="W315" s="271" t="s">
        <v>67</v>
      </c>
      <c r="X315" s="271" t="s">
        <v>67</v>
      </c>
      <c r="Y315" s="271" t="s">
        <v>67</v>
      </c>
      <c r="Z315" s="271" t="s">
        <v>67</v>
      </c>
      <c r="AA315" s="271" t="s">
        <v>67</v>
      </c>
      <c r="AB315" s="271" t="s">
        <v>67</v>
      </c>
      <c r="AC315" s="271" t="s">
        <v>67</v>
      </c>
      <c r="AD315" s="271" t="s">
        <v>67</v>
      </c>
      <c r="AE315" s="271" t="s">
        <v>67</v>
      </c>
      <c r="AF315" s="271" t="s">
        <v>67</v>
      </c>
      <c r="AG315" s="271" t="s">
        <v>67</v>
      </c>
      <c r="AH315" s="271" t="s">
        <v>67</v>
      </c>
      <c r="AI315" s="271" t="s">
        <v>67</v>
      </c>
      <c r="AJ315" s="271" t="s">
        <v>67</v>
      </c>
      <c r="AK315" s="271" t="s">
        <v>67</v>
      </c>
      <c r="AL315" s="271" t="s">
        <v>67</v>
      </c>
    </row>
    <row r="316" spans="1:38" s="237" customFormat="1" outlineLevel="1" x14ac:dyDescent="0.2">
      <c r="B316" s="272" t="s">
        <v>184</v>
      </c>
      <c r="C316" s="247" t="s">
        <v>37</v>
      </c>
      <c r="E316" s="229"/>
      <c r="F316" s="229">
        <f t="shared" ref="F316:AL316" si="156">SUM(F307:F315)</f>
        <v>19.3</v>
      </c>
      <c r="G316" s="229">
        <f t="shared" si="156"/>
        <v>34.299999999999997</v>
      </c>
      <c r="H316" s="229">
        <f t="shared" si="156"/>
        <v>72.599999999999994</v>
      </c>
      <c r="I316" s="229">
        <f t="shared" si="156"/>
        <v>79.5</v>
      </c>
      <c r="J316" s="229">
        <f t="shared" ref="J316" si="157">SUM(J307:J315)</f>
        <v>41.3</v>
      </c>
      <c r="K316" s="229">
        <f t="shared" si="156"/>
        <v>43.776649411764708</v>
      </c>
      <c r="L316" s="229">
        <f t="shared" si="156"/>
        <v>43.360432304218669</v>
      </c>
      <c r="M316" s="229">
        <f t="shared" si="156"/>
        <v>45.170481882352938</v>
      </c>
      <c r="N316" s="229">
        <f t="shared" si="156"/>
        <v>44.7334539194296</v>
      </c>
      <c r="O316" s="229">
        <f t="shared" si="156"/>
        <v>46.63400597647059</v>
      </c>
      <c r="P316" s="229">
        <f t="shared" si="156"/>
        <v>46.175126615401084</v>
      </c>
      <c r="Q316" s="229">
        <f t="shared" si="156"/>
        <v>48.170706275294123</v>
      </c>
      <c r="R316" s="229">
        <f t="shared" si="156"/>
        <v>47.688882946171141</v>
      </c>
      <c r="S316" s="229">
        <f t="shared" si="156"/>
        <v>49.784241589058823</v>
      </c>
      <c r="T316" s="229">
        <f t="shared" si="156"/>
        <v>49.278327093479703</v>
      </c>
      <c r="U316" s="229">
        <f t="shared" si="156"/>
        <v>51.478453668511776</v>
      </c>
      <c r="V316" s="229">
        <f t="shared" si="156"/>
        <v>50.947243448153692</v>
      </c>
      <c r="W316" s="229">
        <f t="shared" si="156"/>
        <v>53.257376351937353</v>
      </c>
      <c r="X316" s="229">
        <f t="shared" si="156"/>
        <v>52.699605620561378</v>
      </c>
      <c r="Y316" s="229">
        <f t="shared" si="156"/>
        <v>55.125245169534217</v>
      </c>
      <c r="Z316" s="229">
        <f t="shared" si="156"/>
        <v>54.539585901589447</v>
      </c>
      <c r="AA316" s="229">
        <f t="shared" si="156"/>
        <v>57.086507428010933</v>
      </c>
      <c r="AB316" s="229">
        <f t="shared" si="156"/>
        <v>56.471565196668919</v>
      </c>
      <c r="AC316" s="229">
        <f t="shared" si="156"/>
        <v>59.145832799411487</v>
      </c>
      <c r="AD316" s="229">
        <f t="shared" si="156"/>
        <v>58.500143456502371</v>
      </c>
      <c r="AE316" s="229">
        <f t="shared" si="156"/>
        <v>61.30812443938207</v>
      </c>
      <c r="AF316" s="229">
        <f t="shared" si="156"/>
        <v>60.630150629327481</v>
      </c>
      <c r="AG316" s="229">
        <f t="shared" si="156"/>
        <v>63.578530661351174</v>
      </c>
      <c r="AH316" s="229">
        <f t="shared" si="156"/>
        <v>62.866658160793875</v>
      </c>
      <c r="AI316" s="229">
        <f t="shared" si="156"/>
        <v>65.962457194418718</v>
      </c>
      <c r="AJ316" s="229">
        <f t="shared" si="156"/>
        <v>65.214991068833555</v>
      </c>
      <c r="AK316" s="229">
        <f t="shared" si="156"/>
        <v>68.465580054139664</v>
      </c>
      <c r="AL316" s="229">
        <f t="shared" si="156"/>
        <v>67.680740622275238</v>
      </c>
    </row>
    <row r="317" spans="1:38" outlineLevel="1" x14ac:dyDescent="0.2">
      <c r="B317" s="270"/>
      <c r="C317" s="260"/>
      <c r="D317" s="266"/>
      <c r="E317" s="254"/>
      <c r="F317" s="254"/>
      <c r="G317" s="254"/>
      <c r="H317" s="254"/>
      <c r="I317" s="254"/>
      <c r="J317" s="254"/>
      <c r="K317" s="271"/>
      <c r="L317" s="271"/>
      <c r="M317" s="271"/>
      <c r="N317" s="271"/>
      <c r="O317" s="271"/>
      <c r="P317" s="271"/>
      <c r="Q317" s="271"/>
      <c r="R317" s="271"/>
      <c r="S317" s="271"/>
      <c r="T317" s="271"/>
      <c r="U317" s="271"/>
      <c r="V317" s="271"/>
      <c r="W317" s="271"/>
      <c r="X317" s="271"/>
      <c r="Y317" s="271"/>
      <c r="Z317" s="271"/>
      <c r="AA317" s="271"/>
      <c r="AB317" s="271"/>
      <c r="AC317" s="271"/>
      <c r="AD317" s="271"/>
      <c r="AE317" s="271"/>
      <c r="AF317" s="271"/>
      <c r="AG317" s="271"/>
      <c r="AH317" s="271"/>
      <c r="AI317" s="271"/>
      <c r="AJ317" s="271"/>
      <c r="AK317" s="271"/>
      <c r="AL317" s="271"/>
    </row>
    <row r="318" spans="1:38" s="237" customFormat="1" outlineLevel="1" x14ac:dyDescent="0.2">
      <c r="A318" s="218"/>
      <c r="B318" s="263" t="s">
        <v>176</v>
      </c>
      <c r="C318" s="217" t="s">
        <v>37</v>
      </c>
      <c r="D318" s="273"/>
      <c r="E318" s="231"/>
      <c r="F318" s="231">
        <v>14.5</v>
      </c>
      <c r="G318" s="231">
        <v>2.7</v>
      </c>
      <c r="H318" s="231">
        <v>5</v>
      </c>
      <c r="I318" s="231">
        <v>5.6</v>
      </c>
      <c r="J318" s="231">
        <v>1.1000000000000001</v>
      </c>
      <c r="K318" s="264">
        <f t="shared" ref="K318:AL318" si="158">J318</f>
        <v>1.1000000000000001</v>
      </c>
      <c r="L318" s="264">
        <f t="shared" si="158"/>
        <v>1.1000000000000001</v>
      </c>
      <c r="M318" s="264">
        <f t="shared" si="158"/>
        <v>1.1000000000000001</v>
      </c>
      <c r="N318" s="264">
        <f t="shared" si="158"/>
        <v>1.1000000000000001</v>
      </c>
      <c r="O318" s="264">
        <f t="shared" si="158"/>
        <v>1.1000000000000001</v>
      </c>
      <c r="P318" s="264">
        <f t="shared" si="158"/>
        <v>1.1000000000000001</v>
      </c>
      <c r="Q318" s="264">
        <f t="shared" si="158"/>
        <v>1.1000000000000001</v>
      </c>
      <c r="R318" s="264">
        <f t="shared" si="158"/>
        <v>1.1000000000000001</v>
      </c>
      <c r="S318" s="264">
        <f t="shared" si="158"/>
        <v>1.1000000000000001</v>
      </c>
      <c r="T318" s="264">
        <f t="shared" si="158"/>
        <v>1.1000000000000001</v>
      </c>
      <c r="U318" s="264">
        <f t="shared" si="158"/>
        <v>1.1000000000000001</v>
      </c>
      <c r="V318" s="264">
        <f t="shared" si="158"/>
        <v>1.1000000000000001</v>
      </c>
      <c r="W318" s="264">
        <f t="shared" si="158"/>
        <v>1.1000000000000001</v>
      </c>
      <c r="X318" s="264">
        <f t="shared" si="158"/>
        <v>1.1000000000000001</v>
      </c>
      <c r="Y318" s="264">
        <f t="shared" si="158"/>
        <v>1.1000000000000001</v>
      </c>
      <c r="Z318" s="264">
        <f t="shared" si="158"/>
        <v>1.1000000000000001</v>
      </c>
      <c r="AA318" s="264">
        <f t="shared" si="158"/>
        <v>1.1000000000000001</v>
      </c>
      <c r="AB318" s="264">
        <f t="shared" si="158"/>
        <v>1.1000000000000001</v>
      </c>
      <c r="AC318" s="264">
        <f t="shared" si="158"/>
        <v>1.1000000000000001</v>
      </c>
      <c r="AD318" s="264">
        <f t="shared" si="158"/>
        <v>1.1000000000000001</v>
      </c>
      <c r="AE318" s="264">
        <f t="shared" si="158"/>
        <v>1.1000000000000001</v>
      </c>
      <c r="AF318" s="264">
        <f t="shared" si="158"/>
        <v>1.1000000000000001</v>
      </c>
      <c r="AG318" s="264">
        <f t="shared" si="158"/>
        <v>1.1000000000000001</v>
      </c>
      <c r="AH318" s="264">
        <f t="shared" si="158"/>
        <v>1.1000000000000001</v>
      </c>
      <c r="AI318" s="264">
        <f t="shared" si="158"/>
        <v>1.1000000000000001</v>
      </c>
      <c r="AJ318" s="264">
        <f t="shared" si="158"/>
        <v>1.1000000000000001</v>
      </c>
      <c r="AK318" s="264">
        <f t="shared" si="158"/>
        <v>1.1000000000000001</v>
      </c>
      <c r="AL318" s="264">
        <f t="shared" si="158"/>
        <v>1.1000000000000001</v>
      </c>
    </row>
    <row r="319" spans="1:38" outlineLevel="1" x14ac:dyDescent="0.2">
      <c r="B319" s="270" t="s">
        <v>185</v>
      </c>
      <c r="C319" s="217" t="s">
        <v>37</v>
      </c>
      <c r="D319" s="266"/>
      <c r="E319" s="231"/>
      <c r="F319" s="231">
        <v>0.1</v>
      </c>
      <c r="G319" s="231">
        <v>0.1</v>
      </c>
      <c r="H319" s="231">
        <v>0</v>
      </c>
      <c r="I319" s="231">
        <v>0</v>
      </c>
      <c r="J319" s="231">
        <v>33.799999999999997</v>
      </c>
      <c r="K319" s="271">
        <f t="shared" ref="K319:AL319" si="159">K403</f>
        <v>33.799999999999997</v>
      </c>
      <c r="L319" s="271">
        <f t="shared" si="159"/>
        <v>33.799999999999997</v>
      </c>
      <c r="M319" s="271">
        <f t="shared" si="159"/>
        <v>33.799999999999997</v>
      </c>
      <c r="N319" s="271">
        <f t="shared" si="159"/>
        <v>33.799999999999997</v>
      </c>
      <c r="O319" s="271">
        <f t="shared" si="159"/>
        <v>33.799999999999997</v>
      </c>
      <c r="P319" s="271">
        <f t="shared" si="159"/>
        <v>33.799999999999997</v>
      </c>
      <c r="Q319" s="271">
        <f t="shared" si="159"/>
        <v>33.799999999999997</v>
      </c>
      <c r="R319" s="271">
        <f t="shared" si="159"/>
        <v>33.799999999999997</v>
      </c>
      <c r="S319" s="271">
        <f t="shared" si="159"/>
        <v>33.799999999999997</v>
      </c>
      <c r="T319" s="271">
        <f t="shared" si="159"/>
        <v>33.799999999999997</v>
      </c>
      <c r="U319" s="271">
        <f t="shared" si="159"/>
        <v>33.799999999999997</v>
      </c>
      <c r="V319" s="271">
        <f t="shared" si="159"/>
        <v>33.799999999999997</v>
      </c>
      <c r="W319" s="271">
        <f t="shared" si="159"/>
        <v>33.799999999999997</v>
      </c>
      <c r="X319" s="271">
        <f t="shared" si="159"/>
        <v>33.799999999999997</v>
      </c>
      <c r="Y319" s="271">
        <f t="shared" si="159"/>
        <v>33.799999999999997</v>
      </c>
      <c r="Z319" s="271">
        <f t="shared" si="159"/>
        <v>33.799999999999997</v>
      </c>
      <c r="AA319" s="271">
        <f t="shared" si="159"/>
        <v>33.799999999999997</v>
      </c>
      <c r="AB319" s="271">
        <f t="shared" si="159"/>
        <v>33.799999999999997</v>
      </c>
      <c r="AC319" s="271">
        <f t="shared" si="159"/>
        <v>33.799999999999997</v>
      </c>
      <c r="AD319" s="271">
        <f t="shared" si="159"/>
        <v>33.799999999999997</v>
      </c>
      <c r="AE319" s="271">
        <f t="shared" si="159"/>
        <v>33.799999999999997</v>
      </c>
      <c r="AF319" s="271">
        <f t="shared" si="159"/>
        <v>33.799999999999997</v>
      </c>
      <c r="AG319" s="271">
        <f t="shared" si="159"/>
        <v>33.799999999999997</v>
      </c>
      <c r="AH319" s="271">
        <f t="shared" si="159"/>
        <v>33.799999999999997</v>
      </c>
      <c r="AI319" s="271">
        <f t="shared" si="159"/>
        <v>33.799999999999997</v>
      </c>
      <c r="AJ319" s="271">
        <f t="shared" si="159"/>
        <v>33.799999999999997</v>
      </c>
      <c r="AK319" s="271">
        <f t="shared" si="159"/>
        <v>33.799999999999997</v>
      </c>
      <c r="AL319" s="271">
        <f t="shared" si="159"/>
        <v>33.799999999999997</v>
      </c>
    </row>
    <row r="320" spans="1:38" s="237" customFormat="1" outlineLevel="1" x14ac:dyDescent="0.2">
      <c r="A320" s="218"/>
      <c r="B320" s="263" t="s">
        <v>186</v>
      </c>
      <c r="C320" s="217" t="s">
        <v>37</v>
      </c>
      <c r="D320" s="273"/>
      <c r="E320" s="231"/>
      <c r="F320" s="231">
        <v>0</v>
      </c>
      <c r="G320" s="231">
        <v>4.9000000000000004</v>
      </c>
      <c r="H320" s="231">
        <v>4.5999999999999996</v>
      </c>
      <c r="I320" s="231">
        <v>4.3</v>
      </c>
      <c r="J320" s="231">
        <v>3.7</v>
      </c>
      <c r="K320" s="264">
        <f t="shared" ref="K320:AL320" si="160">J320</f>
        <v>3.7</v>
      </c>
      <c r="L320" s="264">
        <f t="shared" si="160"/>
        <v>3.7</v>
      </c>
      <c r="M320" s="264">
        <f t="shared" si="160"/>
        <v>3.7</v>
      </c>
      <c r="N320" s="264">
        <f t="shared" si="160"/>
        <v>3.7</v>
      </c>
      <c r="O320" s="264">
        <f t="shared" si="160"/>
        <v>3.7</v>
      </c>
      <c r="P320" s="264">
        <f t="shared" si="160"/>
        <v>3.7</v>
      </c>
      <c r="Q320" s="264">
        <f t="shared" si="160"/>
        <v>3.7</v>
      </c>
      <c r="R320" s="264">
        <f t="shared" si="160"/>
        <v>3.7</v>
      </c>
      <c r="S320" s="264">
        <f t="shared" si="160"/>
        <v>3.7</v>
      </c>
      <c r="T320" s="264">
        <f t="shared" si="160"/>
        <v>3.7</v>
      </c>
      <c r="U320" s="264">
        <f t="shared" si="160"/>
        <v>3.7</v>
      </c>
      <c r="V320" s="264">
        <f t="shared" si="160"/>
        <v>3.7</v>
      </c>
      <c r="W320" s="264">
        <f t="shared" si="160"/>
        <v>3.7</v>
      </c>
      <c r="X320" s="264">
        <f t="shared" si="160"/>
        <v>3.7</v>
      </c>
      <c r="Y320" s="264">
        <f t="shared" si="160"/>
        <v>3.7</v>
      </c>
      <c r="Z320" s="264">
        <f t="shared" si="160"/>
        <v>3.7</v>
      </c>
      <c r="AA320" s="264">
        <f t="shared" si="160"/>
        <v>3.7</v>
      </c>
      <c r="AB320" s="264">
        <f t="shared" si="160"/>
        <v>3.7</v>
      </c>
      <c r="AC320" s="264">
        <f t="shared" si="160"/>
        <v>3.7</v>
      </c>
      <c r="AD320" s="264">
        <f t="shared" si="160"/>
        <v>3.7</v>
      </c>
      <c r="AE320" s="264">
        <f t="shared" si="160"/>
        <v>3.7</v>
      </c>
      <c r="AF320" s="264">
        <f t="shared" si="160"/>
        <v>3.7</v>
      </c>
      <c r="AG320" s="264">
        <f t="shared" si="160"/>
        <v>3.7</v>
      </c>
      <c r="AH320" s="264">
        <f t="shared" si="160"/>
        <v>3.7</v>
      </c>
      <c r="AI320" s="264">
        <f t="shared" si="160"/>
        <v>3.7</v>
      </c>
      <c r="AJ320" s="264">
        <f t="shared" si="160"/>
        <v>3.7</v>
      </c>
      <c r="AK320" s="264">
        <f t="shared" si="160"/>
        <v>3.7</v>
      </c>
      <c r="AL320" s="264">
        <f t="shared" si="160"/>
        <v>3.7</v>
      </c>
    </row>
    <row r="321" spans="1:38" s="237" customFormat="1" outlineLevel="1" x14ac:dyDescent="0.2">
      <c r="A321" s="218"/>
      <c r="B321" s="263" t="s">
        <v>187</v>
      </c>
      <c r="C321" s="217" t="s">
        <v>37</v>
      </c>
      <c r="D321" s="273"/>
      <c r="E321" s="231"/>
      <c r="F321" s="231">
        <v>0</v>
      </c>
      <c r="G321" s="231">
        <v>0</v>
      </c>
      <c r="H321" s="231">
        <v>1.8</v>
      </c>
      <c r="I321" s="231">
        <v>0</v>
      </c>
      <c r="J321" s="231">
        <v>0</v>
      </c>
      <c r="K321" s="264">
        <f t="shared" ref="K321:AL321" si="161">J321</f>
        <v>0</v>
      </c>
      <c r="L321" s="264">
        <f t="shared" si="161"/>
        <v>0</v>
      </c>
      <c r="M321" s="264">
        <f t="shared" si="161"/>
        <v>0</v>
      </c>
      <c r="N321" s="264">
        <f t="shared" si="161"/>
        <v>0</v>
      </c>
      <c r="O321" s="264">
        <f t="shared" si="161"/>
        <v>0</v>
      </c>
      <c r="P321" s="264">
        <f t="shared" si="161"/>
        <v>0</v>
      </c>
      <c r="Q321" s="264">
        <f t="shared" si="161"/>
        <v>0</v>
      </c>
      <c r="R321" s="264">
        <f t="shared" si="161"/>
        <v>0</v>
      </c>
      <c r="S321" s="264">
        <f t="shared" si="161"/>
        <v>0</v>
      </c>
      <c r="T321" s="264">
        <f t="shared" si="161"/>
        <v>0</v>
      </c>
      <c r="U321" s="264">
        <f t="shared" si="161"/>
        <v>0</v>
      </c>
      <c r="V321" s="264">
        <f t="shared" si="161"/>
        <v>0</v>
      </c>
      <c r="W321" s="264">
        <f t="shared" si="161"/>
        <v>0</v>
      </c>
      <c r="X321" s="264">
        <f t="shared" si="161"/>
        <v>0</v>
      </c>
      <c r="Y321" s="264">
        <f t="shared" si="161"/>
        <v>0</v>
      </c>
      <c r="Z321" s="264">
        <f t="shared" si="161"/>
        <v>0</v>
      </c>
      <c r="AA321" s="264">
        <f t="shared" si="161"/>
        <v>0</v>
      </c>
      <c r="AB321" s="264">
        <f t="shared" si="161"/>
        <v>0</v>
      </c>
      <c r="AC321" s="264">
        <f t="shared" si="161"/>
        <v>0</v>
      </c>
      <c r="AD321" s="264">
        <f t="shared" si="161"/>
        <v>0</v>
      </c>
      <c r="AE321" s="264">
        <f t="shared" si="161"/>
        <v>0</v>
      </c>
      <c r="AF321" s="264">
        <f t="shared" si="161"/>
        <v>0</v>
      </c>
      <c r="AG321" s="264">
        <f t="shared" si="161"/>
        <v>0</v>
      </c>
      <c r="AH321" s="264">
        <f t="shared" si="161"/>
        <v>0</v>
      </c>
      <c r="AI321" s="264">
        <f t="shared" si="161"/>
        <v>0</v>
      </c>
      <c r="AJ321" s="264">
        <f t="shared" si="161"/>
        <v>0</v>
      </c>
      <c r="AK321" s="264">
        <f t="shared" si="161"/>
        <v>0</v>
      </c>
      <c r="AL321" s="264">
        <f t="shared" si="161"/>
        <v>0</v>
      </c>
    </row>
    <row r="322" spans="1:38" s="237" customFormat="1" outlineLevel="1" x14ac:dyDescent="0.2">
      <c r="A322" s="218"/>
      <c r="B322" s="263" t="s">
        <v>180</v>
      </c>
      <c r="C322" s="217" t="s">
        <v>37</v>
      </c>
      <c r="D322" s="273"/>
      <c r="E322" s="231"/>
      <c r="F322" s="231">
        <v>0.2</v>
      </c>
      <c r="G322" s="231">
        <v>0.3</v>
      </c>
      <c r="H322" s="231">
        <v>0.5</v>
      </c>
      <c r="I322" s="231">
        <v>0.6</v>
      </c>
      <c r="J322" s="231">
        <v>0.6</v>
      </c>
      <c r="K322" s="264">
        <f t="shared" ref="K322:AL322" si="162">J322</f>
        <v>0.6</v>
      </c>
      <c r="L322" s="264">
        <f t="shared" si="162"/>
        <v>0.6</v>
      </c>
      <c r="M322" s="264">
        <f t="shared" si="162"/>
        <v>0.6</v>
      </c>
      <c r="N322" s="264">
        <f t="shared" si="162"/>
        <v>0.6</v>
      </c>
      <c r="O322" s="264">
        <f t="shared" si="162"/>
        <v>0.6</v>
      </c>
      <c r="P322" s="264">
        <f t="shared" si="162"/>
        <v>0.6</v>
      </c>
      <c r="Q322" s="264">
        <f t="shared" si="162"/>
        <v>0.6</v>
      </c>
      <c r="R322" s="264">
        <f t="shared" si="162"/>
        <v>0.6</v>
      </c>
      <c r="S322" s="264">
        <f t="shared" si="162"/>
        <v>0.6</v>
      </c>
      <c r="T322" s="264">
        <f t="shared" si="162"/>
        <v>0.6</v>
      </c>
      <c r="U322" s="264">
        <f t="shared" si="162"/>
        <v>0.6</v>
      </c>
      <c r="V322" s="264">
        <f t="shared" si="162"/>
        <v>0.6</v>
      </c>
      <c r="W322" s="264">
        <f t="shared" si="162"/>
        <v>0.6</v>
      </c>
      <c r="X322" s="264">
        <f t="shared" si="162"/>
        <v>0.6</v>
      </c>
      <c r="Y322" s="264">
        <f t="shared" si="162"/>
        <v>0.6</v>
      </c>
      <c r="Z322" s="264">
        <f t="shared" si="162"/>
        <v>0.6</v>
      </c>
      <c r="AA322" s="264">
        <f t="shared" si="162"/>
        <v>0.6</v>
      </c>
      <c r="AB322" s="264">
        <f t="shared" si="162"/>
        <v>0.6</v>
      </c>
      <c r="AC322" s="264">
        <f t="shared" si="162"/>
        <v>0.6</v>
      </c>
      <c r="AD322" s="264">
        <f t="shared" si="162"/>
        <v>0.6</v>
      </c>
      <c r="AE322" s="264">
        <f t="shared" si="162"/>
        <v>0.6</v>
      </c>
      <c r="AF322" s="264">
        <f t="shared" si="162"/>
        <v>0.6</v>
      </c>
      <c r="AG322" s="264">
        <f t="shared" si="162"/>
        <v>0.6</v>
      </c>
      <c r="AH322" s="264">
        <f t="shared" si="162"/>
        <v>0.6</v>
      </c>
      <c r="AI322" s="264">
        <f t="shared" si="162"/>
        <v>0.6</v>
      </c>
      <c r="AJ322" s="264">
        <f t="shared" si="162"/>
        <v>0.6</v>
      </c>
      <c r="AK322" s="264">
        <f t="shared" si="162"/>
        <v>0.6</v>
      </c>
      <c r="AL322" s="264">
        <f t="shared" si="162"/>
        <v>0.6</v>
      </c>
    </row>
    <row r="323" spans="1:38" s="237" customFormat="1" outlineLevel="1" x14ac:dyDescent="0.2">
      <c r="A323" s="218"/>
      <c r="B323" s="263" t="s">
        <v>188</v>
      </c>
      <c r="C323" s="217" t="s">
        <v>37</v>
      </c>
      <c r="D323" s="273"/>
      <c r="E323" s="231"/>
      <c r="F323" s="231">
        <v>0</v>
      </c>
      <c r="G323" s="231">
        <v>0</v>
      </c>
      <c r="H323" s="231">
        <v>0</v>
      </c>
      <c r="I323" s="231">
        <v>0</v>
      </c>
      <c r="J323" s="231">
        <v>0</v>
      </c>
      <c r="K323" s="264">
        <f t="shared" ref="K323:AL323" si="163">J323</f>
        <v>0</v>
      </c>
      <c r="L323" s="264">
        <f t="shared" si="163"/>
        <v>0</v>
      </c>
      <c r="M323" s="264">
        <f t="shared" si="163"/>
        <v>0</v>
      </c>
      <c r="N323" s="264">
        <f t="shared" si="163"/>
        <v>0</v>
      </c>
      <c r="O323" s="264">
        <f t="shared" si="163"/>
        <v>0</v>
      </c>
      <c r="P323" s="264">
        <f t="shared" si="163"/>
        <v>0</v>
      </c>
      <c r="Q323" s="264">
        <f t="shared" si="163"/>
        <v>0</v>
      </c>
      <c r="R323" s="264">
        <f t="shared" si="163"/>
        <v>0</v>
      </c>
      <c r="S323" s="264">
        <f t="shared" si="163"/>
        <v>0</v>
      </c>
      <c r="T323" s="264">
        <f t="shared" si="163"/>
        <v>0</v>
      </c>
      <c r="U323" s="264">
        <f t="shared" si="163"/>
        <v>0</v>
      </c>
      <c r="V323" s="264">
        <f t="shared" si="163"/>
        <v>0</v>
      </c>
      <c r="W323" s="264">
        <f t="shared" si="163"/>
        <v>0</v>
      </c>
      <c r="X323" s="264">
        <f t="shared" si="163"/>
        <v>0</v>
      </c>
      <c r="Y323" s="264">
        <f t="shared" si="163"/>
        <v>0</v>
      </c>
      <c r="Z323" s="264">
        <f t="shared" si="163"/>
        <v>0</v>
      </c>
      <c r="AA323" s="264">
        <f t="shared" si="163"/>
        <v>0</v>
      </c>
      <c r="AB323" s="264">
        <f t="shared" si="163"/>
        <v>0</v>
      </c>
      <c r="AC323" s="264">
        <f t="shared" si="163"/>
        <v>0</v>
      </c>
      <c r="AD323" s="264">
        <f t="shared" si="163"/>
        <v>0</v>
      </c>
      <c r="AE323" s="264">
        <f t="shared" si="163"/>
        <v>0</v>
      </c>
      <c r="AF323" s="264">
        <f t="shared" si="163"/>
        <v>0</v>
      </c>
      <c r="AG323" s="264">
        <f t="shared" si="163"/>
        <v>0</v>
      </c>
      <c r="AH323" s="264">
        <f t="shared" si="163"/>
        <v>0</v>
      </c>
      <c r="AI323" s="264">
        <f t="shared" si="163"/>
        <v>0</v>
      </c>
      <c r="AJ323" s="264">
        <f t="shared" si="163"/>
        <v>0</v>
      </c>
      <c r="AK323" s="264">
        <f t="shared" si="163"/>
        <v>0</v>
      </c>
      <c r="AL323" s="264">
        <f t="shared" si="163"/>
        <v>0</v>
      </c>
    </row>
    <row r="324" spans="1:38" outlineLevel="1" x14ac:dyDescent="0.2">
      <c r="B324" s="270" t="s">
        <v>67</v>
      </c>
      <c r="C324" s="252" t="s">
        <v>67</v>
      </c>
      <c r="D324" s="266"/>
      <c r="E324" s="254"/>
      <c r="F324" s="254" t="s">
        <v>67</v>
      </c>
      <c r="G324" s="254" t="s">
        <v>67</v>
      </c>
      <c r="H324" s="254" t="s">
        <v>67</v>
      </c>
      <c r="I324" s="254" t="s">
        <v>67</v>
      </c>
      <c r="J324" s="254" t="s">
        <v>67</v>
      </c>
      <c r="K324" s="271" t="s">
        <v>67</v>
      </c>
      <c r="L324" s="271" t="s">
        <v>67</v>
      </c>
      <c r="M324" s="271" t="s">
        <v>67</v>
      </c>
      <c r="N324" s="271" t="s">
        <v>67</v>
      </c>
      <c r="O324" s="271" t="s">
        <v>67</v>
      </c>
      <c r="P324" s="271" t="s">
        <v>67</v>
      </c>
      <c r="Q324" s="271" t="s">
        <v>67</v>
      </c>
      <c r="R324" s="271" t="s">
        <v>67</v>
      </c>
      <c r="S324" s="271" t="s">
        <v>67</v>
      </c>
      <c r="T324" s="271" t="s">
        <v>67</v>
      </c>
      <c r="U324" s="271" t="s">
        <v>67</v>
      </c>
      <c r="V324" s="271" t="s">
        <v>67</v>
      </c>
      <c r="W324" s="271" t="s">
        <v>67</v>
      </c>
      <c r="X324" s="271" t="s">
        <v>67</v>
      </c>
      <c r="Y324" s="271" t="s">
        <v>67</v>
      </c>
      <c r="Z324" s="271" t="s">
        <v>67</v>
      </c>
      <c r="AA324" s="271" t="s">
        <v>67</v>
      </c>
      <c r="AB324" s="271" t="s">
        <v>67</v>
      </c>
      <c r="AC324" s="271" t="s">
        <v>67</v>
      </c>
      <c r="AD324" s="271" t="s">
        <v>67</v>
      </c>
      <c r="AE324" s="271" t="s">
        <v>67</v>
      </c>
      <c r="AF324" s="271" t="s">
        <v>67</v>
      </c>
      <c r="AG324" s="271" t="s">
        <v>67</v>
      </c>
      <c r="AH324" s="271" t="s">
        <v>67</v>
      </c>
      <c r="AI324" s="271" t="s">
        <v>67</v>
      </c>
      <c r="AJ324" s="271" t="s">
        <v>67</v>
      </c>
      <c r="AK324" s="271" t="s">
        <v>67</v>
      </c>
      <c r="AL324" s="271" t="s">
        <v>67</v>
      </c>
    </row>
    <row r="325" spans="1:38" s="237" customFormat="1" outlineLevel="1" x14ac:dyDescent="0.2">
      <c r="B325" s="272" t="s">
        <v>189</v>
      </c>
      <c r="C325" s="247" t="s">
        <v>37</v>
      </c>
      <c r="E325" s="229"/>
      <c r="F325" s="229">
        <f t="shared" ref="F325:AL325" si="164">SUM(F318:F324)</f>
        <v>14.799999999999999</v>
      </c>
      <c r="G325" s="229">
        <f t="shared" si="164"/>
        <v>8.0000000000000018</v>
      </c>
      <c r="H325" s="229">
        <f t="shared" si="164"/>
        <v>11.9</v>
      </c>
      <c r="I325" s="229">
        <f t="shared" si="164"/>
        <v>10.499999999999998</v>
      </c>
      <c r="J325" s="229">
        <f t="shared" ref="J325" si="165">SUM(J318:J324)</f>
        <v>39.200000000000003</v>
      </c>
      <c r="K325" s="229">
        <f t="shared" si="164"/>
        <v>39.200000000000003</v>
      </c>
      <c r="L325" s="229">
        <f t="shared" si="164"/>
        <v>39.200000000000003</v>
      </c>
      <c r="M325" s="229">
        <f t="shared" si="164"/>
        <v>39.200000000000003</v>
      </c>
      <c r="N325" s="229">
        <f t="shared" si="164"/>
        <v>39.200000000000003</v>
      </c>
      <c r="O325" s="229">
        <f t="shared" si="164"/>
        <v>39.200000000000003</v>
      </c>
      <c r="P325" s="229">
        <f t="shared" si="164"/>
        <v>39.200000000000003</v>
      </c>
      <c r="Q325" s="229">
        <f t="shared" si="164"/>
        <v>39.200000000000003</v>
      </c>
      <c r="R325" s="229">
        <f t="shared" si="164"/>
        <v>39.200000000000003</v>
      </c>
      <c r="S325" s="229">
        <f t="shared" si="164"/>
        <v>39.200000000000003</v>
      </c>
      <c r="T325" s="229">
        <f t="shared" si="164"/>
        <v>39.200000000000003</v>
      </c>
      <c r="U325" s="229">
        <f t="shared" si="164"/>
        <v>39.200000000000003</v>
      </c>
      <c r="V325" s="229">
        <f t="shared" si="164"/>
        <v>39.200000000000003</v>
      </c>
      <c r="W325" s="229">
        <f t="shared" si="164"/>
        <v>39.200000000000003</v>
      </c>
      <c r="X325" s="229">
        <f t="shared" si="164"/>
        <v>39.200000000000003</v>
      </c>
      <c r="Y325" s="229">
        <f t="shared" si="164"/>
        <v>39.200000000000003</v>
      </c>
      <c r="Z325" s="229">
        <f t="shared" si="164"/>
        <v>39.200000000000003</v>
      </c>
      <c r="AA325" s="229">
        <f t="shared" si="164"/>
        <v>39.200000000000003</v>
      </c>
      <c r="AB325" s="229">
        <f t="shared" si="164"/>
        <v>39.200000000000003</v>
      </c>
      <c r="AC325" s="229">
        <f t="shared" si="164"/>
        <v>39.200000000000003</v>
      </c>
      <c r="AD325" s="229">
        <f t="shared" si="164"/>
        <v>39.200000000000003</v>
      </c>
      <c r="AE325" s="229">
        <f t="shared" si="164"/>
        <v>39.200000000000003</v>
      </c>
      <c r="AF325" s="229">
        <f t="shared" si="164"/>
        <v>39.200000000000003</v>
      </c>
      <c r="AG325" s="229">
        <f t="shared" si="164"/>
        <v>39.200000000000003</v>
      </c>
      <c r="AH325" s="229">
        <f t="shared" si="164"/>
        <v>39.200000000000003</v>
      </c>
      <c r="AI325" s="229">
        <f t="shared" si="164"/>
        <v>39.200000000000003</v>
      </c>
      <c r="AJ325" s="229">
        <f t="shared" si="164"/>
        <v>39.200000000000003</v>
      </c>
      <c r="AK325" s="229">
        <f t="shared" si="164"/>
        <v>39.200000000000003</v>
      </c>
      <c r="AL325" s="229">
        <f t="shared" si="164"/>
        <v>39.200000000000003</v>
      </c>
    </row>
    <row r="326" spans="1:38" s="237" customFormat="1" outlineLevel="1" x14ac:dyDescent="0.2">
      <c r="A326" s="218"/>
      <c r="B326" s="239" t="s">
        <v>190</v>
      </c>
      <c r="C326" s="247" t="s">
        <v>37</v>
      </c>
      <c r="D326" s="273"/>
      <c r="E326" s="248"/>
      <c r="F326" s="248">
        <f t="shared" ref="F326:AL326" si="166">F316+F325</f>
        <v>34.1</v>
      </c>
      <c r="G326" s="248">
        <f t="shared" si="166"/>
        <v>42.3</v>
      </c>
      <c r="H326" s="248">
        <f t="shared" si="166"/>
        <v>84.5</v>
      </c>
      <c r="I326" s="248">
        <f t="shared" si="166"/>
        <v>90</v>
      </c>
      <c r="J326" s="248">
        <f t="shared" ref="J326" si="167">J316+J325</f>
        <v>80.5</v>
      </c>
      <c r="K326" s="248">
        <f t="shared" si="166"/>
        <v>82.976649411764711</v>
      </c>
      <c r="L326" s="248">
        <f t="shared" si="166"/>
        <v>82.560432304218665</v>
      </c>
      <c r="M326" s="248">
        <f t="shared" si="166"/>
        <v>84.370481882352948</v>
      </c>
      <c r="N326" s="248">
        <f t="shared" si="166"/>
        <v>83.93345391942961</v>
      </c>
      <c r="O326" s="248">
        <f t="shared" si="166"/>
        <v>85.834005976470593</v>
      </c>
      <c r="P326" s="248">
        <f t="shared" si="166"/>
        <v>85.375126615401086</v>
      </c>
      <c r="Q326" s="248">
        <f t="shared" si="166"/>
        <v>87.370706275294125</v>
      </c>
      <c r="R326" s="248">
        <f t="shared" si="166"/>
        <v>86.888882946171151</v>
      </c>
      <c r="S326" s="248">
        <f t="shared" si="166"/>
        <v>88.984241589058826</v>
      </c>
      <c r="T326" s="248">
        <f t="shared" si="166"/>
        <v>88.478327093479706</v>
      </c>
      <c r="U326" s="248">
        <f t="shared" si="166"/>
        <v>90.678453668511779</v>
      </c>
      <c r="V326" s="248">
        <f t="shared" si="166"/>
        <v>90.147243448153688</v>
      </c>
      <c r="W326" s="248">
        <f t="shared" si="166"/>
        <v>92.457376351937356</v>
      </c>
      <c r="X326" s="248">
        <f t="shared" si="166"/>
        <v>91.899605620561374</v>
      </c>
      <c r="Y326" s="248">
        <f t="shared" si="166"/>
        <v>94.325245169534213</v>
      </c>
      <c r="Z326" s="248">
        <f t="shared" si="166"/>
        <v>93.73958590158945</v>
      </c>
      <c r="AA326" s="248">
        <f t="shared" si="166"/>
        <v>96.286507428010935</v>
      </c>
      <c r="AB326" s="248">
        <f t="shared" si="166"/>
        <v>95.671565196668922</v>
      </c>
      <c r="AC326" s="248">
        <f t="shared" si="166"/>
        <v>98.345832799411482</v>
      </c>
      <c r="AD326" s="248">
        <f t="shared" si="166"/>
        <v>97.700143456502374</v>
      </c>
      <c r="AE326" s="248">
        <f t="shared" si="166"/>
        <v>100.50812443938207</v>
      </c>
      <c r="AF326" s="248">
        <f t="shared" si="166"/>
        <v>99.830150629327477</v>
      </c>
      <c r="AG326" s="248">
        <f t="shared" si="166"/>
        <v>102.77853066135117</v>
      </c>
      <c r="AH326" s="248">
        <f t="shared" si="166"/>
        <v>102.06665816079388</v>
      </c>
      <c r="AI326" s="248">
        <f t="shared" si="166"/>
        <v>105.16245719441872</v>
      </c>
      <c r="AJ326" s="248">
        <f t="shared" si="166"/>
        <v>104.41499106883356</v>
      </c>
      <c r="AK326" s="248">
        <f t="shared" si="166"/>
        <v>107.66558005413967</v>
      </c>
      <c r="AL326" s="248">
        <f t="shared" si="166"/>
        <v>106.88074062227524</v>
      </c>
    </row>
    <row r="327" spans="1:38" s="237" customFormat="1" outlineLevel="1" x14ac:dyDescent="0.2">
      <c r="A327" s="218"/>
      <c r="B327" s="239"/>
      <c r="C327" s="247"/>
      <c r="D327" s="273"/>
      <c r="E327" s="248"/>
      <c r="F327" s="248"/>
      <c r="G327" s="248"/>
      <c r="H327" s="248"/>
      <c r="I327" s="248"/>
      <c r="J327" s="248"/>
      <c r="K327" s="229"/>
      <c r="L327" s="229"/>
      <c r="M327" s="229"/>
      <c r="N327" s="229"/>
      <c r="O327" s="229"/>
      <c r="P327" s="229"/>
      <c r="Q327" s="229"/>
      <c r="R327" s="229"/>
      <c r="S327" s="229"/>
      <c r="T327" s="229"/>
      <c r="U327" s="229"/>
      <c r="V327" s="229"/>
      <c r="W327" s="229"/>
      <c r="X327" s="229"/>
      <c r="Y327" s="229"/>
      <c r="Z327" s="229"/>
      <c r="AA327" s="229"/>
      <c r="AB327" s="229"/>
      <c r="AC327" s="229"/>
      <c r="AD327" s="229"/>
      <c r="AE327" s="229"/>
      <c r="AF327" s="229"/>
      <c r="AG327" s="229"/>
      <c r="AH327" s="229"/>
      <c r="AI327" s="229"/>
      <c r="AJ327" s="229"/>
      <c r="AK327" s="229"/>
      <c r="AL327" s="229"/>
    </row>
    <row r="328" spans="1:38" s="237" customFormat="1" outlineLevel="1" x14ac:dyDescent="0.2">
      <c r="A328" s="218"/>
      <c r="B328" s="263" t="s">
        <v>191</v>
      </c>
      <c r="C328" s="217" t="s">
        <v>37</v>
      </c>
      <c r="D328" s="273"/>
      <c r="E328" s="231"/>
      <c r="F328" s="231">
        <v>67.099999999999994</v>
      </c>
      <c r="G328" s="231">
        <v>117.5</v>
      </c>
      <c r="H328" s="231">
        <v>261.39999999999998</v>
      </c>
      <c r="I328" s="231">
        <v>253.3</v>
      </c>
      <c r="J328" s="231">
        <v>253.8</v>
      </c>
      <c r="K328" s="232">
        <f t="shared" ref="K328:AL328" si="168">J328+K477+K482</f>
        <v>253.8</v>
      </c>
      <c r="L328" s="232">
        <f t="shared" si="168"/>
        <v>253.8</v>
      </c>
      <c r="M328" s="232">
        <f t="shared" si="168"/>
        <v>253.8</v>
      </c>
      <c r="N328" s="232">
        <f t="shared" si="168"/>
        <v>253.8</v>
      </c>
      <c r="O328" s="232">
        <f t="shared" si="168"/>
        <v>253.8</v>
      </c>
      <c r="P328" s="232">
        <f t="shared" si="168"/>
        <v>253.8</v>
      </c>
      <c r="Q328" s="232">
        <f t="shared" si="168"/>
        <v>253.8</v>
      </c>
      <c r="R328" s="232">
        <f t="shared" si="168"/>
        <v>253.8</v>
      </c>
      <c r="S328" s="232">
        <f t="shared" si="168"/>
        <v>253.8</v>
      </c>
      <c r="T328" s="232">
        <f t="shared" si="168"/>
        <v>253.8</v>
      </c>
      <c r="U328" s="232">
        <f t="shared" si="168"/>
        <v>253.8</v>
      </c>
      <c r="V328" s="232">
        <f t="shared" si="168"/>
        <v>253.8</v>
      </c>
      <c r="W328" s="232">
        <f t="shared" si="168"/>
        <v>253.8</v>
      </c>
      <c r="X328" s="232">
        <f t="shared" si="168"/>
        <v>253.8</v>
      </c>
      <c r="Y328" s="232">
        <f t="shared" si="168"/>
        <v>253.8</v>
      </c>
      <c r="Z328" s="232">
        <f t="shared" si="168"/>
        <v>253.8</v>
      </c>
      <c r="AA328" s="232">
        <f t="shared" si="168"/>
        <v>253.8</v>
      </c>
      <c r="AB328" s="232">
        <f t="shared" si="168"/>
        <v>253.8</v>
      </c>
      <c r="AC328" s="232">
        <f t="shared" si="168"/>
        <v>253.8</v>
      </c>
      <c r="AD328" s="232">
        <f t="shared" si="168"/>
        <v>253.8</v>
      </c>
      <c r="AE328" s="232">
        <f t="shared" si="168"/>
        <v>253.8</v>
      </c>
      <c r="AF328" s="232">
        <f t="shared" si="168"/>
        <v>253.8</v>
      </c>
      <c r="AG328" s="232">
        <f t="shared" si="168"/>
        <v>253.8</v>
      </c>
      <c r="AH328" s="232">
        <f t="shared" si="168"/>
        <v>253.8</v>
      </c>
      <c r="AI328" s="232">
        <f t="shared" si="168"/>
        <v>253.8</v>
      </c>
      <c r="AJ328" s="232">
        <f t="shared" si="168"/>
        <v>253.8</v>
      </c>
      <c r="AK328" s="232">
        <f t="shared" si="168"/>
        <v>253.8</v>
      </c>
      <c r="AL328" s="232">
        <f t="shared" si="168"/>
        <v>253.8</v>
      </c>
    </row>
    <row r="329" spans="1:38" s="237" customFormat="1" outlineLevel="1" x14ac:dyDescent="0.2">
      <c r="A329" s="218"/>
      <c r="B329" s="263" t="s">
        <v>192</v>
      </c>
      <c r="C329" s="217" t="s">
        <v>37</v>
      </c>
      <c r="D329" s="273"/>
      <c r="E329" s="231"/>
      <c r="F329" s="231">
        <v>7.8</v>
      </c>
      <c r="G329" s="231">
        <v>9.1</v>
      </c>
      <c r="H329" s="231">
        <v>15.6</v>
      </c>
      <c r="I329" s="231">
        <v>-4.9000000000000004</v>
      </c>
      <c r="J329" s="231">
        <v>-1.6</v>
      </c>
      <c r="K329" s="232">
        <f t="shared" ref="K329:AL329" si="169">J329+K154-K172</f>
        <v>-0.28750000000000009</v>
      </c>
      <c r="L329" s="232">
        <f t="shared" si="169"/>
        <v>3.057132768361583</v>
      </c>
      <c r="M329" s="232">
        <f t="shared" si="169"/>
        <v>4.3808125257615824</v>
      </c>
      <c r="N329" s="232">
        <f t="shared" si="169"/>
        <v>7.6356786838395507</v>
      </c>
      <c r="O329" s="232">
        <f t="shared" si="169"/>
        <v>8.8473547694595513</v>
      </c>
      <c r="P329" s="232">
        <f t="shared" si="169"/>
        <v>9.9356233980360518</v>
      </c>
      <c r="Q329" s="232">
        <f t="shared" si="169"/>
        <v>11.095625062357552</v>
      </c>
      <c r="R329" s="232">
        <f t="shared" si="169"/>
        <v>12.238307122362878</v>
      </c>
      <c r="S329" s="232">
        <f t="shared" si="169"/>
        <v>13.417018490947628</v>
      </c>
      <c r="T329" s="232">
        <f t="shared" si="169"/>
        <v>14.57813090675949</v>
      </c>
      <c r="U329" s="232">
        <f t="shared" si="169"/>
        <v>15.815777843773478</v>
      </c>
      <c r="V329" s="232">
        <f t="shared" si="169"/>
        <v>17.034945880375936</v>
      </c>
      <c r="W329" s="232">
        <f t="shared" si="169"/>
        <v>18.334475164240622</v>
      </c>
      <c r="X329" s="232">
        <f t="shared" si="169"/>
        <v>19.614601602673201</v>
      </c>
      <c r="Y329" s="232">
        <f t="shared" si="169"/>
        <v>20.979107350731123</v>
      </c>
      <c r="Z329" s="232">
        <f t="shared" si="169"/>
        <v>22.323240111085333</v>
      </c>
      <c r="AA329" s="232">
        <f t="shared" si="169"/>
        <v>23.755971146546152</v>
      </c>
      <c r="AB329" s="232">
        <f t="shared" si="169"/>
        <v>25.16731054491807</v>
      </c>
      <c r="AC329" s="232">
        <f t="shared" si="169"/>
        <v>26.671678132151929</v>
      </c>
      <c r="AD329" s="232">
        <f t="shared" si="169"/>
        <v>28.153584500442442</v>
      </c>
      <c r="AE329" s="232">
        <f t="shared" si="169"/>
        <v>29.733170467037993</v>
      </c>
      <c r="AF329" s="232">
        <f t="shared" si="169"/>
        <v>31.289172153743035</v>
      </c>
      <c r="AG329" s="232">
        <f t="shared" si="169"/>
        <v>32.947737418668368</v>
      </c>
      <c r="AH329" s="232">
        <f t="shared" si="169"/>
        <v>34.581539189708664</v>
      </c>
      <c r="AI329" s="232">
        <f t="shared" si="169"/>
        <v>36.32303271788026</v>
      </c>
      <c r="AJ329" s="232">
        <f t="shared" si="169"/>
        <v>38.038524577472565</v>
      </c>
      <c r="AK329" s="232">
        <f t="shared" si="169"/>
        <v>39.867092782052737</v>
      </c>
      <c r="AL329" s="232">
        <f t="shared" si="169"/>
        <v>41.66835923462466</v>
      </c>
    </row>
    <row r="330" spans="1:38" s="237" customFormat="1" outlineLevel="1" x14ac:dyDescent="0.2">
      <c r="A330" s="218"/>
      <c r="B330" s="263" t="s">
        <v>193</v>
      </c>
      <c r="C330" s="217" t="s">
        <v>37</v>
      </c>
      <c r="D330" s="273"/>
      <c r="E330" s="231"/>
      <c r="F330" s="231">
        <v>-71.599999999999994</v>
      </c>
      <c r="G330" s="231">
        <v>-72</v>
      </c>
      <c r="H330" s="231">
        <v>-78.8</v>
      </c>
      <c r="I330" s="231">
        <v>-111</v>
      </c>
      <c r="J330" s="231">
        <v>-119</v>
      </c>
      <c r="K330" s="232">
        <f t="shared" ref="K330:AL330" si="170">J330+K149+K272</f>
        <v>-123.42776659759451</v>
      </c>
      <c r="L330" s="232">
        <f t="shared" si="170"/>
        <v>-124.03782423439144</v>
      </c>
      <c r="M330" s="232">
        <f t="shared" si="170"/>
        <v>-124.2618606392994</v>
      </c>
      <c r="N330" s="232">
        <f t="shared" si="170"/>
        <v>-123.0774048538003</v>
      </c>
      <c r="O330" s="232">
        <f t="shared" si="170"/>
        <v>-121.45333163219779</v>
      </c>
      <c r="P330" s="232">
        <f t="shared" si="170"/>
        <v>-116.73644439763757</v>
      </c>
      <c r="Q330" s="232">
        <f t="shared" si="170"/>
        <v>-113.55509288246567</v>
      </c>
      <c r="R330" s="232">
        <f t="shared" si="170"/>
        <v>-108.32634045239294</v>
      </c>
      <c r="S330" s="232">
        <f t="shared" si="170"/>
        <v>-104.24983161938611</v>
      </c>
      <c r="T330" s="232">
        <f t="shared" si="170"/>
        <v>-98.047043741817987</v>
      </c>
      <c r="U330" s="232">
        <f t="shared" si="170"/>
        <v>-93.490321712557204</v>
      </c>
      <c r="V330" s="232">
        <f t="shared" si="170"/>
        <v>-86.721086795803942</v>
      </c>
      <c r="W330" s="232">
        <f t="shared" si="170"/>
        <v>-81.685887787005285</v>
      </c>
      <c r="X330" s="232">
        <f t="shared" si="170"/>
        <v>-74.336274800134106</v>
      </c>
      <c r="Y330" s="232">
        <f t="shared" si="170"/>
        <v>-68.818606858357583</v>
      </c>
      <c r="Z330" s="232">
        <f t="shared" si="170"/>
        <v>-60.881405114926565</v>
      </c>
      <c r="AA330" s="232">
        <f t="shared" si="170"/>
        <v>-54.872525699424074</v>
      </c>
      <c r="AB330" s="232">
        <f t="shared" si="170"/>
        <v>-46.331838699242539</v>
      </c>
      <c r="AC330" s="232">
        <f t="shared" si="170"/>
        <v>-39.818921411642535</v>
      </c>
      <c r="AD330" s="232">
        <f t="shared" si="170"/>
        <v>-30.656372242579877</v>
      </c>
      <c r="AE330" s="232">
        <f t="shared" si="170"/>
        <v>-23.623055528510712</v>
      </c>
      <c r="AF330" s="232">
        <f t="shared" si="170"/>
        <v>-13.811988361076837</v>
      </c>
      <c r="AG330" s="232">
        <f t="shared" si="170"/>
        <v>-6.2387543676824091</v>
      </c>
      <c r="AH330" s="232">
        <f t="shared" si="170"/>
        <v>4.2460509076063691</v>
      </c>
      <c r="AI330" s="232">
        <f t="shared" si="170"/>
        <v>12.381532257583233</v>
      </c>
      <c r="AJ330" s="232">
        <f t="shared" si="170"/>
        <v>23.569840776316539</v>
      </c>
      <c r="AK330" s="232">
        <f t="shared" si="170"/>
        <v>32.292492265777852</v>
      </c>
      <c r="AL330" s="232">
        <f t="shared" si="170"/>
        <v>44.218520973355396</v>
      </c>
    </row>
    <row r="331" spans="1:38" s="237" customFormat="1" outlineLevel="1" x14ac:dyDescent="0.2">
      <c r="A331" s="218"/>
      <c r="B331" s="263" t="s">
        <v>194</v>
      </c>
      <c r="C331" s="217" t="s">
        <v>37</v>
      </c>
      <c r="D331" s="273"/>
      <c r="E331" s="231"/>
      <c r="F331" s="231">
        <v>0</v>
      </c>
      <c r="G331" s="231">
        <v>0</v>
      </c>
      <c r="H331" s="231">
        <v>0</v>
      </c>
      <c r="I331" s="231">
        <v>0</v>
      </c>
      <c r="J331" s="231">
        <v>0</v>
      </c>
      <c r="K331" s="264">
        <f t="shared" ref="K331:AL331" si="171">J331</f>
        <v>0</v>
      </c>
      <c r="L331" s="264">
        <f t="shared" si="171"/>
        <v>0</v>
      </c>
      <c r="M331" s="264">
        <f t="shared" si="171"/>
        <v>0</v>
      </c>
      <c r="N331" s="264">
        <f t="shared" si="171"/>
        <v>0</v>
      </c>
      <c r="O331" s="264">
        <f t="shared" si="171"/>
        <v>0</v>
      </c>
      <c r="P331" s="264">
        <f t="shared" si="171"/>
        <v>0</v>
      </c>
      <c r="Q331" s="264">
        <f t="shared" si="171"/>
        <v>0</v>
      </c>
      <c r="R331" s="264">
        <f t="shared" si="171"/>
        <v>0</v>
      </c>
      <c r="S331" s="264">
        <f t="shared" si="171"/>
        <v>0</v>
      </c>
      <c r="T331" s="264">
        <f t="shared" si="171"/>
        <v>0</v>
      </c>
      <c r="U331" s="264">
        <f t="shared" si="171"/>
        <v>0</v>
      </c>
      <c r="V331" s="264">
        <f t="shared" si="171"/>
        <v>0</v>
      </c>
      <c r="W331" s="264">
        <f t="shared" si="171"/>
        <v>0</v>
      </c>
      <c r="X331" s="264">
        <f t="shared" si="171"/>
        <v>0</v>
      </c>
      <c r="Y331" s="264">
        <f t="shared" si="171"/>
        <v>0</v>
      </c>
      <c r="Z331" s="264">
        <f t="shared" si="171"/>
        <v>0</v>
      </c>
      <c r="AA331" s="264">
        <f t="shared" si="171"/>
        <v>0</v>
      </c>
      <c r="AB331" s="264">
        <f t="shared" si="171"/>
        <v>0</v>
      </c>
      <c r="AC331" s="264">
        <f t="shared" si="171"/>
        <v>0</v>
      </c>
      <c r="AD331" s="264">
        <f t="shared" si="171"/>
        <v>0</v>
      </c>
      <c r="AE331" s="264">
        <f t="shared" si="171"/>
        <v>0</v>
      </c>
      <c r="AF331" s="264">
        <f t="shared" si="171"/>
        <v>0</v>
      </c>
      <c r="AG331" s="264">
        <f t="shared" si="171"/>
        <v>0</v>
      </c>
      <c r="AH331" s="264">
        <f t="shared" si="171"/>
        <v>0</v>
      </c>
      <c r="AI331" s="264">
        <f t="shared" si="171"/>
        <v>0</v>
      </c>
      <c r="AJ331" s="264">
        <f t="shared" si="171"/>
        <v>0</v>
      </c>
      <c r="AK331" s="264">
        <f t="shared" si="171"/>
        <v>0</v>
      </c>
      <c r="AL331" s="264">
        <f t="shared" si="171"/>
        <v>0</v>
      </c>
    </row>
    <row r="332" spans="1:38" outlineLevel="1" x14ac:dyDescent="0.2">
      <c r="B332" s="270" t="s">
        <v>67</v>
      </c>
      <c r="C332" s="252" t="s">
        <v>67</v>
      </c>
      <c r="D332" s="266"/>
      <c r="E332" s="254"/>
      <c r="F332" s="254" t="s">
        <v>67</v>
      </c>
      <c r="G332" s="254" t="s">
        <v>67</v>
      </c>
      <c r="H332" s="254" t="s">
        <v>67</v>
      </c>
      <c r="I332" s="254" t="s">
        <v>67</v>
      </c>
      <c r="J332" s="254" t="s">
        <v>67</v>
      </c>
      <c r="K332" s="271" t="s">
        <v>67</v>
      </c>
      <c r="L332" s="271" t="s">
        <v>67</v>
      </c>
      <c r="M332" s="271" t="s">
        <v>67</v>
      </c>
      <c r="N332" s="271" t="s">
        <v>67</v>
      </c>
      <c r="O332" s="271" t="s">
        <v>67</v>
      </c>
      <c r="P332" s="271" t="s">
        <v>67</v>
      </c>
      <c r="Q332" s="271" t="s">
        <v>67</v>
      </c>
      <c r="R332" s="271" t="s">
        <v>67</v>
      </c>
      <c r="S332" s="271" t="s">
        <v>67</v>
      </c>
      <c r="T332" s="271" t="s">
        <v>67</v>
      </c>
      <c r="U332" s="271" t="s">
        <v>67</v>
      </c>
      <c r="V332" s="271" t="s">
        <v>67</v>
      </c>
      <c r="W332" s="271" t="s">
        <v>67</v>
      </c>
      <c r="X332" s="271" t="s">
        <v>67</v>
      </c>
      <c r="Y332" s="271" t="s">
        <v>67</v>
      </c>
      <c r="Z332" s="271" t="s">
        <v>67</v>
      </c>
      <c r="AA332" s="271" t="s">
        <v>67</v>
      </c>
      <c r="AB332" s="271" t="s">
        <v>67</v>
      </c>
      <c r="AC332" s="271" t="s">
        <v>67</v>
      </c>
      <c r="AD332" s="271" t="s">
        <v>67</v>
      </c>
      <c r="AE332" s="271" t="s">
        <v>67</v>
      </c>
      <c r="AF332" s="271" t="s">
        <v>67</v>
      </c>
      <c r="AG332" s="271" t="s">
        <v>67</v>
      </c>
      <c r="AH332" s="271" t="s">
        <v>67</v>
      </c>
      <c r="AI332" s="271" t="s">
        <v>67</v>
      </c>
      <c r="AJ332" s="271" t="s">
        <v>67</v>
      </c>
      <c r="AK332" s="271" t="s">
        <v>67</v>
      </c>
      <c r="AL332" s="271" t="s">
        <v>67</v>
      </c>
    </row>
    <row r="333" spans="1:38" s="237" customFormat="1" outlineLevel="1" x14ac:dyDescent="0.2">
      <c r="A333" s="218"/>
      <c r="B333" s="239" t="s">
        <v>195</v>
      </c>
      <c r="C333" s="247" t="s">
        <v>37</v>
      </c>
      <c r="D333" s="273"/>
      <c r="E333" s="229"/>
      <c r="F333" s="229">
        <f t="shared" ref="F333:AL333" si="172">SUM(F328:F332)</f>
        <v>3.2999999999999972</v>
      </c>
      <c r="G333" s="229">
        <f t="shared" si="172"/>
        <v>54.599999999999994</v>
      </c>
      <c r="H333" s="229">
        <f t="shared" si="172"/>
        <v>198.2</v>
      </c>
      <c r="I333" s="229">
        <f t="shared" si="172"/>
        <v>137.4</v>
      </c>
      <c r="J333" s="229">
        <f t="shared" ref="J333" si="173">SUM(J328:J332)</f>
        <v>133.20000000000002</v>
      </c>
      <c r="K333" s="229">
        <f t="shared" si="172"/>
        <v>130.0847334024055</v>
      </c>
      <c r="L333" s="229">
        <f t="shared" si="172"/>
        <v>132.81930853397012</v>
      </c>
      <c r="M333" s="229">
        <f t="shared" si="172"/>
        <v>133.9189518864622</v>
      </c>
      <c r="N333" s="229">
        <f t="shared" si="172"/>
        <v>138.35827383003925</v>
      </c>
      <c r="O333" s="229">
        <f t="shared" si="172"/>
        <v>141.19402313726181</v>
      </c>
      <c r="P333" s="229">
        <f t="shared" si="172"/>
        <v>146.9991790003985</v>
      </c>
      <c r="Q333" s="229">
        <f t="shared" si="172"/>
        <v>151.34053217989191</v>
      </c>
      <c r="R333" s="229">
        <f t="shared" si="172"/>
        <v>157.71196666996994</v>
      </c>
      <c r="S333" s="229">
        <f t="shared" si="172"/>
        <v>162.96718687156152</v>
      </c>
      <c r="T333" s="229">
        <f t="shared" si="172"/>
        <v>170.33108716494152</v>
      </c>
      <c r="U333" s="229">
        <f t="shared" si="172"/>
        <v>176.12545613121631</v>
      </c>
      <c r="V333" s="229">
        <f t="shared" si="172"/>
        <v>184.11385908457197</v>
      </c>
      <c r="W333" s="229">
        <f t="shared" si="172"/>
        <v>190.44858737723536</v>
      </c>
      <c r="X333" s="229">
        <f t="shared" si="172"/>
        <v>199.0783268025391</v>
      </c>
      <c r="Y333" s="229">
        <f t="shared" si="172"/>
        <v>205.96050049237354</v>
      </c>
      <c r="Z333" s="229">
        <f t="shared" si="172"/>
        <v>215.24183499615879</v>
      </c>
      <c r="AA333" s="229">
        <f t="shared" si="172"/>
        <v>222.68344544712207</v>
      </c>
      <c r="AB333" s="229">
        <f t="shared" si="172"/>
        <v>232.63547184567551</v>
      </c>
      <c r="AC333" s="229">
        <f t="shared" si="172"/>
        <v>240.65275672050944</v>
      </c>
      <c r="AD333" s="229">
        <f t="shared" si="172"/>
        <v>251.29721225786255</v>
      </c>
      <c r="AE333" s="229">
        <f t="shared" si="172"/>
        <v>259.91011493852733</v>
      </c>
      <c r="AF333" s="229">
        <f t="shared" si="172"/>
        <v>271.27718379266622</v>
      </c>
      <c r="AG333" s="229">
        <f t="shared" si="172"/>
        <v>280.50898305098599</v>
      </c>
      <c r="AH333" s="229">
        <f t="shared" si="172"/>
        <v>292.62759009731508</v>
      </c>
      <c r="AI333" s="229">
        <f t="shared" si="172"/>
        <v>302.5045649754635</v>
      </c>
      <c r="AJ333" s="229">
        <f t="shared" si="172"/>
        <v>315.40836535378912</v>
      </c>
      <c r="AK333" s="229">
        <f t="shared" si="172"/>
        <v>325.95958504783061</v>
      </c>
      <c r="AL333" s="229">
        <f t="shared" si="172"/>
        <v>339.6868802079801</v>
      </c>
    </row>
    <row r="334" spans="1:38" outlineLevel="1" x14ac:dyDescent="0.2">
      <c r="A334" s="237"/>
      <c r="B334" s="268" t="s">
        <v>160</v>
      </c>
      <c r="C334" s="274"/>
      <c r="D334" s="275"/>
      <c r="E334" s="412"/>
      <c r="F334" s="412">
        <f t="shared" ref="F334:AL334" si="174">F333+F326-F305</f>
        <v>0</v>
      </c>
      <c r="G334" s="412">
        <f t="shared" si="174"/>
        <v>0</v>
      </c>
      <c r="H334" s="412">
        <f t="shared" si="174"/>
        <v>0</v>
      </c>
      <c r="I334" s="412">
        <f t="shared" si="174"/>
        <v>0</v>
      </c>
      <c r="J334" s="412">
        <f t="shared" ref="J334" si="175">J333+J326-J305</f>
        <v>0</v>
      </c>
      <c r="K334" s="412">
        <f t="shared" si="174"/>
        <v>0</v>
      </c>
      <c r="L334" s="412">
        <f t="shared" si="174"/>
        <v>0</v>
      </c>
      <c r="M334" s="412">
        <f t="shared" si="174"/>
        <v>0</v>
      </c>
      <c r="N334" s="412">
        <f t="shared" si="174"/>
        <v>0</v>
      </c>
      <c r="O334" s="412">
        <f t="shared" si="174"/>
        <v>0</v>
      </c>
      <c r="P334" s="412">
        <f t="shared" si="174"/>
        <v>0</v>
      </c>
      <c r="Q334" s="412">
        <f t="shared" si="174"/>
        <v>0</v>
      </c>
      <c r="R334" s="412">
        <f t="shared" si="174"/>
        <v>0</v>
      </c>
      <c r="S334" s="412">
        <f t="shared" si="174"/>
        <v>0</v>
      </c>
      <c r="T334" s="412">
        <f t="shared" si="174"/>
        <v>0</v>
      </c>
      <c r="U334" s="412">
        <f t="shared" si="174"/>
        <v>0</v>
      </c>
      <c r="V334" s="412">
        <f t="shared" si="174"/>
        <v>0</v>
      </c>
      <c r="W334" s="412">
        <f t="shared" si="174"/>
        <v>0</v>
      </c>
      <c r="X334" s="412">
        <f t="shared" si="174"/>
        <v>0</v>
      </c>
      <c r="Y334" s="412">
        <f t="shared" si="174"/>
        <v>0</v>
      </c>
      <c r="Z334" s="412">
        <f t="shared" si="174"/>
        <v>0</v>
      </c>
      <c r="AA334" s="412">
        <f t="shared" si="174"/>
        <v>0</v>
      </c>
      <c r="AB334" s="412">
        <f t="shared" si="174"/>
        <v>0</v>
      </c>
      <c r="AC334" s="412">
        <f t="shared" si="174"/>
        <v>0</v>
      </c>
      <c r="AD334" s="412">
        <f t="shared" si="174"/>
        <v>0</v>
      </c>
      <c r="AE334" s="412">
        <f t="shared" si="174"/>
        <v>0</v>
      </c>
      <c r="AF334" s="412">
        <f t="shared" si="174"/>
        <v>0</v>
      </c>
      <c r="AG334" s="412">
        <f t="shared" si="174"/>
        <v>0</v>
      </c>
      <c r="AH334" s="412">
        <f t="shared" si="174"/>
        <v>0</v>
      </c>
      <c r="AI334" s="412">
        <f t="shared" si="174"/>
        <v>0</v>
      </c>
      <c r="AJ334" s="412">
        <f t="shared" si="174"/>
        <v>0</v>
      </c>
      <c r="AK334" s="412">
        <f t="shared" si="174"/>
        <v>0</v>
      </c>
      <c r="AL334" s="412">
        <f t="shared" si="174"/>
        <v>0</v>
      </c>
    </row>
    <row r="335" spans="1:38" s="237" customFormat="1" x14ac:dyDescent="0.2">
      <c r="A335" s="218"/>
      <c r="B335" s="239"/>
      <c r="C335" s="247"/>
      <c r="D335" s="273"/>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c r="AA335" s="229"/>
      <c r="AB335" s="229"/>
      <c r="AC335" s="229"/>
      <c r="AD335" s="229"/>
      <c r="AE335" s="229"/>
      <c r="AF335" s="229"/>
      <c r="AG335" s="229"/>
      <c r="AH335" s="229"/>
      <c r="AI335" s="229"/>
      <c r="AJ335" s="229"/>
      <c r="AK335" s="229"/>
      <c r="AL335" s="229"/>
    </row>
    <row r="336" spans="1:38" s="222" customFormat="1" x14ac:dyDescent="0.2">
      <c r="A336" s="222" t="s">
        <v>7</v>
      </c>
      <c r="B336" s="276" t="s">
        <v>196</v>
      </c>
      <c r="C336" s="277"/>
      <c r="E336" s="278"/>
      <c r="F336" s="278"/>
      <c r="G336" s="278"/>
      <c r="H336" s="278"/>
      <c r="I336" s="278"/>
      <c r="J336" s="278"/>
      <c r="K336" s="278"/>
      <c r="L336" s="278"/>
      <c r="M336" s="278"/>
      <c r="N336" s="278"/>
      <c r="O336" s="278"/>
      <c r="P336" s="278"/>
      <c r="Q336" s="278"/>
      <c r="R336" s="278"/>
      <c r="S336" s="278"/>
      <c r="T336" s="278"/>
      <c r="U336" s="278"/>
      <c r="V336" s="278"/>
      <c r="W336" s="278"/>
      <c r="X336" s="278"/>
      <c r="Y336" s="278"/>
      <c r="Z336" s="278"/>
      <c r="AA336" s="278"/>
      <c r="AB336" s="278"/>
      <c r="AC336" s="278"/>
      <c r="AD336" s="278"/>
      <c r="AE336" s="278"/>
      <c r="AF336" s="278"/>
      <c r="AG336" s="278"/>
      <c r="AH336" s="278"/>
      <c r="AI336" s="278"/>
      <c r="AJ336" s="278"/>
      <c r="AK336" s="278"/>
      <c r="AL336" s="278"/>
    </row>
    <row r="337" spans="1:38" ht="11.25" customHeight="1" outlineLevel="1" x14ac:dyDescent="0.2"/>
    <row r="338" spans="1:38" ht="11.25" customHeight="1" outlineLevel="1" x14ac:dyDescent="0.2">
      <c r="B338" s="246" t="s">
        <v>197</v>
      </c>
    </row>
    <row r="339" spans="1:38" ht="11.25" customHeight="1" outlineLevel="1" x14ac:dyDescent="0.2">
      <c r="B339" s="234" t="s">
        <v>198</v>
      </c>
      <c r="C339" s="205" t="s">
        <v>37</v>
      </c>
      <c r="E339" s="231"/>
      <c r="F339" s="231"/>
      <c r="G339" s="232">
        <f>G341-G340</f>
        <v>-0.79999999999999982</v>
      </c>
      <c r="H339" s="232">
        <f>H341-H340</f>
        <v>-0.80000000000000071</v>
      </c>
      <c r="I339" s="232">
        <f>I341-I340</f>
        <v>-0.60000000000000053</v>
      </c>
      <c r="J339" s="232">
        <f>J341-J340</f>
        <v>-0.99999999999999911</v>
      </c>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c r="AJ339" s="258"/>
      <c r="AK339" s="258"/>
      <c r="AL339" s="258"/>
    </row>
    <row r="340" spans="1:38" ht="11.25" customHeight="1" outlineLevel="1" x14ac:dyDescent="0.2">
      <c r="B340" s="234" t="s">
        <v>199</v>
      </c>
      <c r="C340" s="205" t="s">
        <v>37</v>
      </c>
      <c r="E340" s="231"/>
      <c r="F340" s="231"/>
      <c r="G340" s="231">
        <v>-3.5</v>
      </c>
      <c r="H340" s="231">
        <f>-7.8-G340</f>
        <v>-4.3</v>
      </c>
      <c r="I340" s="231">
        <v>-5.6</v>
      </c>
      <c r="J340" s="231">
        <f>-11.3-I340</f>
        <v>-5.7000000000000011</v>
      </c>
      <c r="K340" s="232">
        <f t="shared" ref="K340:AL340" si="176">K352</f>
        <v>-5.0869565217391308</v>
      </c>
      <c r="L340" s="232">
        <f t="shared" si="176"/>
        <v>-5.0827794062048257</v>
      </c>
      <c r="M340" s="232">
        <f t="shared" si="176"/>
        <v>-5.0708630748191839</v>
      </c>
      <c r="N340" s="232">
        <f t="shared" si="176"/>
        <v>-5.0958728940523921</v>
      </c>
      <c r="O340" s="232">
        <f t="shared" si="176"/>
        <v>-5.1095613420173249</v>
      </c>
      <c r="P340" s="232">
        <f t="shared" si="176"/>
        <v>-5.1591743572711959</v>
      </c>
      <c r="Q340" s="232">
        <f t="shared" si="176"/>
        <v>-5.1943615951869644</v>
      </c>
      <c r="R340" s="232">
        <f t="shared" si="176"/>
        <v>-5.2108037902209903</v>
      </c>
      <c r="S340" s="232">
        <f t="shared" si="176"/>
        <v>-5.216783372232296</v>
      </c>
      <c r="T340" s="232">
        <f t="shared" si="176"/>
        <v>-5.2598407533999811</v>
      </c>
      <c r="U340" s="232">
        <f t="shared" si="176"/>
        <v>-5.2891087956349025</v>
      </c>
      <c r="V340" s="232">
        <f t="shared" si="176"/>
        <v>-5.3548096703402122</v>
      </c>
      <c r="W340" s="232">
        <f t="shared" si="176"/>
        <v>-5.4038044973748969</v>
      </c>
      <c r="X340" s="232">
        <f t="shared" si="176"/>
        <v>-5.4890686482113145</v>
      </c>
      <c r="Y340" s="232">
        <f t="shared" si="176"/>
        <v>-5.5550220759070719</v>
      </c>
      <c r="Z340" s="232">
        <f t="shared" si="176"/>
        <v>-5.6574812436697197</v>
      </c>
      <c r="AA340" s="232">
        <f t="shared" si="176"/>
        <v>-5.7382585206798478</v>
      </c>
      <c r="AB340" s="232">
        <f t="shared" si="176"/>
        <v>-5.8561139793330819</v>
      </c>
      <c r="AC340" s="232">
        <f t="shared" si="176"/>
        <v>-5.950086786119817</v>
      </c>
      <c r="AD340" s="232">
        <f t="shared" si="176"/>
        <v>-6.0819963938572377</v>
      </c>
      <c r="AE340" s="232">
        <f t="shared" si="176"/>
        <v>-6.1879421110314068</v>
      </c>
      <c r="AF340" s="232">
        <f t="shared" si="176"/>
        <v>-6.3329307876768297</v>
      </c>
      <c r="AG340" s="232">
        <f t="shared" si="176"/>
        <v>-6.4499526413481059</v>
      </c>
      <c r="AH340" s="232">
        <f t="shared" si="176"/>
        <v>-6.6073414665252423</v>
      </c>
      <c r="AI340" s="232">
        <f t="shared" si="176"/>
        <v>-6.7348052672861076</v>
      </c>
      <c r="AJ340" s="232">
        <f t="shared" si="176"/>
        <v>-6.9041553822144275</v>
      </c>
      <c r="AK340" s="232">
        <f t="shared" si="176"/>
        <v>-7.0416394553651926</v>
      </c>
      <c r="AL340" s="232">
        <f t="shared" si="176"/>
        <v>-7.2227077363970169</v>
      </c>
    </row>
    <row r="341" spans="1:38" s="237" customFormat="1" outlineLevel="1" x14ac:dyDescent="0.2">
      <c r="B341" s="239" t="s">
        <v>103</v>
      </c>
      <c r="C341" s="247" t="s">
        <v>37</v>
      </c>
      <c r="E341" s="229"/>
      <c r="F341" s="229"/>
      <c r="G341" s="257">
        <v>-4.3</v>
      </c>
      <c r="H341" s="257">
        <f>-9.4-G341</f>
        <v>-5.1000000000000005</v>
      </c>
      <c r="I341" s="257">
        <v>-6.2</v>
      </c>
      <c r="J341" s="257">
        <f>-12.9-I341</f>
        <v>-6.7</v>
      </c>
      <c r="K341" s="259">
        <f t="shared" ref="K341:AL341" si="177">SUM(K339:K340)</f>
        <v>-5.0869565217391308</v>
      </c>
      <c r="L341" s="259">
        <f t="shared" si="177"/>
        <v>-5.0827794062048257</v>
      </c>
      <c r="M341" s="259">
        <f t="shared" si="177"/>
        <v>-5.0708630748191839</v>
      </c>
      <c r="N341" s="259">
        <f t="shared" si="177"/>
        <v>-5.0958728940523921</v>
      </c>
      <c r="O341" s="259">
        <f t="shared" si="177"/>
        <v>-5.1095613420173249</v>
      </c>
      <c r="P341" s="259">
        <f t="shared" si="177"/>
        <v>-5.1591743572711959</v>
      </c>
      <c r="Q341" s="259">
        <f t="shared" si="177"/>
        <v>-5.1943615951869644</v>
      </c>
      <c r="R341" s="259">
        <f t="shared" si="177"/>
        <v>-5.2108037902209903</v>
      </c>
      <c r="S341" s="259">
        <f t="shared" si="177"/>
        <v>-5.216783372232296</v>
      </c>
      <c r="T341" s="259">
        <f t="shared" si="177"/>
        <v>-5.2598407533999811</v>
      </c>
      <c r="U341" s="259">
        <f t="shared" si="177"/>
        <v>-5.2891087956349025</v>
      </c>
      <c r="V341" s="259">
        <f t="shared" si="177"/>
        <v>-5.3548096703402122</v>
      </c>
      <c r="W341" s="259">
        <f t="shared" si="177"/>
        <v>-5.4038044973748969</v>
      </c>
      <c r="X341" s="259">
        <f t="shared" si="177"/>
        <v>-5.4890686482113145</v>
      </c>
      <c r="Y341" s="259">
        <f t="shared" si="177"/>
        <v>-5.5550220759070719</v>
      </c>
      <c r="Z341" s="259">
        <f t="shared" si="177"/>
        <v>-5.6574812436697197</v>
      </c>
      <c r="AA341" s="259">
        <f t="shared" si="177"/>
        <v>-5.7382585206798478</v>
      </c>
      <c r="AB341" s="259">
        <f t="shared" si="177"/>
        <v>-5.8561139793330819</v>
      </c>
      <c r="AC341" s="259">
        <f t="shared" si="177"/>
        <v>-5.950086786119817</v>
      </c>
      <c r="AD341" s="259">
        <f t="shared" si="177"/>
        <v>-6.0819963938572377</v>
      </c>
      <c r="AE341" s="259">
        <f t="shared" si="177"/>
        <v>-6.1879421110314068</v>
      </c>
      <c r="AF341" s="259">
        <f t="shared" si="177"/>
        <v>-6.3329307876768297</v>
      </c>
      <c r="AG341" s="259">
        <f t="shared" si="177"/>
        <v>-6.4499526413481059</v>
      </c>
      <c r="AH341" s="259">
        <f t="shared" si="177"/>
        <v>-6.6073414665252423</v>
      </c>
      <c r="AI341" s="259">
        <f t="shared" si="177"/>
        <v>-6.7348052672861076</v>
      </c>
      <c r="AJ341" s="259">
        <f t="shared" si="177"/>
        <v>-6.9041553822144275</v>
      </c>
      <c r="AK341" s="259">
        <f t="shared" si="177"/>
        <v>-7.0416394553651926</v>
      </c>
      <c r="AL341" s="259">
        <f t="shared" si="177"/>
        <v>-7.2227077363970169</v>
      </c>
    </row>
    <row r="342" spans="1:38" outlineLevel="1" x14ac:dyDescent="0.2">
      <c r="A342" s="237"/>
      <c r="B342" s="268" t="s">
        <v>160</v>
      </c>
      <c r="C342" s="274"/>
      <c r="D342" s="275"/>
      <c r="E342" s="412"/>
      <c r="F342" s="412"/>
      <c r="G342" s="412">
        <f>G341-SUM(G339:G340)</f>
        <v>0</v>
      </c>
      <c r="H342" s="412">
        <f>H341-SUM(H339:H340)</f>
        <v>0</v>
      </c>
      <c r="I342" s="412">
        <f>I341-SUM(I339:I340)</f>
        <v>0</v>
      </c>
      <c r="J342" s="412">
        <f>J341-SUM(J339:J340)</f>
        <v>0</v>
      </c>
      <c r="K342" s="412"/>
      <c r="L342" s="412"/>
      <c r="M342" s="412"/>
      <c r="N342" s="412"/>
      <c r="O342" s="412"/>
      <c r="P342" s="412"/>
      <c r="Q342" s="412"/>
      <c r="R342" s="412"/>
      <c r="S342" s="412"/>
      <c r="T342" s="412"/>
      <c r="U342" s="412"/>
      <c r="V342" s="412"/>
      <c r="W342" s="412"/>
      <c r="X342" s="412"/>
      <c r="Y342" s="412"/>
      <c r="Z342" s="412"/>
      <c r="AA342" s="412"/>
      <c r="AB342" s="412"/>
      <c r="AC342" s="412"/>
      <c r="AD342" s="412"/>
      <c r="AE342" s="412"/>
      <c r="AF342" s="412"/>
      <c r="AG342" s="412"/>
      <c r="AH342" s="412"/>
      <c r="AI342" s="412"/>
      <c r="AJ342" s="412"/>
      <c r="AK342" s="412"/>
      <c r="AL342" s="412"/>
    </row>
    <row r="343" spans="1:38" ht="11.25" customHeight="1" outlineLevel="1" x14ac:dyDescent="0.2"/>
    <row r="344" spans="1:38" ht="11.25" customHeight="1" outlineLevel="1" x14ac:dyDescent="0.2">
      <c r="B344" s="246" t="s">
        <v>200</v>
      </c>
    </row>
    <row r="345" spans="1:38" ht="11.25" customHeight="1" outlineLevel="1" x14ac:dyDescent="0.2">
      <c r="B345" s="234" t="s">
        <v>144</v>
      </c>
      <c r="C345" s="205" t="s">
        <v>37</v>
      </c>
      <c r="G345" s="232">
        <f>G258</f>
        <v>0</v>
      </c>
      <c r="H345" s="232">
        <f>H258</f>
        <v>-0.4</v>
      </c>
      <c r="I345" s="232">
        <f>I258</f>
        <v>-0.2</v>
      </c>
      <c r="J345" s="232">
        <f>J258</f>
        <v>-9.9999999999999978E-2</v>
      </c>
      <c r="K345" s="533">
        <v>0</v>
      </c>
      <c r="L345" s="533">
        <v>0</v>
      </c>
      <c r="M345" s="533">
        <v>0</v>
      </c>
      <c r="N345" s="533">
        <v>0</v>
      </c>
      <c r="O345" s="533">
        <v>0</v>
      </c>
      <c r="P345" s="533">
        <v>0</v>
      </c>
      <c r="Q345" s="533">
        <v>0</v>
      </c>
      <c r="R345" s="533">
        <v>0</v>
      </c>
      <c r="S345" s="533">
        <v>0</v>
      </c>
      <c r="T345" s="533">
        <v>0</v>
      </c>
      <c r="U345" s="533">
        <v>0</v>
      </c>
      <c r="V345" s="533">
        <v>0</v>
      </c>
      <c r="W345" s="533">
        <v>0</v>
      </c>
      <c r="X345" s="533">
        <v>0</v>
      </c>
      <c r="Y345" s="533">
        <v>0</v>
      </c>
      <c r="Z345" s="533">
        <v>0</v>
      </c>
      <c r="AA345" s="533">
        <v>0</v>
      </c>
      <c r="AB345" s="533">
        <v>0</v>
      </c>
      <c r="AC345" s="533">
        <v>0</v>
      </c>
      <c r="AD345" s="533">
        <v>0</v>
      </c>
      <c r="AE345" s="533">
        <v>0</v>
      </c>
      <c r="AF345" s="533">
        <v>0</v>
      </c>
      <c r="AG345" s="533">
        <v>0</v>
      </c>
      <c r="AH345" s="533">
        <v>0</v>
      </c>
      <c r="AI345" s="533">
        <v>0</v>
      </c>
      <c r="AJ345" s="533">
        <v>0</v>
      </c>
      <c r="AK345" s="533">
        <v>0</v>
      </c>
      <c r="AL345" s="533">
        <v>0</v>
      </c>
    </row>
    <row r="346" spans="1:38" ht="11.25" customHeight="1" outlineLevel="1" x14ac:dyDescent="0.2">
      <c r="B346" s="234" t="s">
        <v>199</v>
      </c>
      <c r="C346" s="205" t="s">
        <v>37</v>
      </c>
      <c r="E346" s="231"/>
      <c r="F346" s="231"/>
      <c r="G346" s="232">
        <f t="shared" ref="G346:AL346" si="178">G353</f>
        <v>2</v>
      </c>
      <c r="H346" s="232">
        <f t="shared" si="178"/>
        <v>3.7</v>
      </c>
      <c r="I346" s="232">
        <f t="shared" si="178"/>
        <v>4.0999999999999996</v>
      </c>
      <c r="J346" s="232">
        <f t="shared" ref="J346" si="179">J353</f>
        <v>4.5999999999999996</v>
      </c>
      <c r="K346" s="232">
        <f t="shared" si="178"/>
        <v>5.0485270588235283</v>
      </c>
      <c r="L346" s="232">
        <f t="shared" si="178"/>
        <v>4.9731491574569233</v>
      </c>
      <c r="M346" s="232">
        <f t="shared" si="178"/>
        <v>5.3009534117647048</v>
      </c>
      <c r="N346" s="232">
        <f t="shared" si="178"/>
        <v>5.2218066153297693</v>
      </c>
      <c r="O346" s="232">
        <f t="shared" si="178"/>
        <v>5.5660010823529404</v>
      </c>
      <c r="P346" s="232">
        <f t="shared" si="178"/>
        <v>5.4828969460962576</v>
      </c>
      <c r="Q346" s="232">
        <f t="shared" si="178"/>
        <v>5.3456297895000002</v>
      </c>
      <c r="R346" s="232">
        <f t="shared" si="178"/>
        <v>5.265815944725003</v>
      </c>
      <c r="S346" s="232">
        <f t="shared" si="178"/>
        <v>5.6129112789749991</v>
      </c>
      <c r="T346" s="232">
        <f t="shared" si="178"/>
        <v>5.529106741961253</v>
      </c>
      <c r="U346" s="232">
        <f t="shared" si="178"/>
        <v>5.8935568429237515</v>
      </c>
      <c r="V346" s="232">
        <f t="shared" si="178"/>
        <v>5.8055620790593165</v>
      </c>
      <c r="W346" s="232">
        <f t="shared" si="178"/>
        <v>6.1882346850699372</v>
      </c>
      <c r="X346" s="232">
        <f t="shared" si="178"/>
        <v>6.0958401830122826</v>
      </c>
      <c r="Y346" s="232">
        <f t="shared" si="178"/>
        <v>6.4976464193234333</v>
      </c>
      <c r="Z346" s="232">
        <f t="shared" si="178"/>
        <v>6.4006321921628961</v>
      </c>
      <c r="AA346" s="232">
        <f t="shared" si="178"/>
        <v>6.8225287402896058</v>
      </c>
      <c r="AB346" s="232">
        <f t="shared" si="178"/>
        <v>6.7206638017710425</v>
      </c>
      <c r="AC346" s="232">
        <f t="shared" si="178"/>
        <v>7.1636551773040873</v>
      </c>
      <c r="AD346" s="232">
        <f t="shared" si="178"/>
        <v>7.056696991859595</v>
      </c>
      <c r="AE346" s="232">
        <f t="shared" si="178"/>
        <v>7.5218379361692929</v>
      </c>
      <c r="AF346" s="232">
        <f t="shared" si="178"/>
        <v>7.4095318414525728</v>
      </c>
      <c r="AG346" s="232">
        <f t="shared" si="178"/>
        <v>7.8979298329777574</v>
      </c>
      <c r="AH346" s="232">
        <f t="shared" si="178"/>
        <v>7.7800084335252055</v>
      </c>
      <c r="AI346" s="232">
        <f t="shared" si="178"/>
        <v>8.2928263246266454</v>
      </c>
      <c r="AJ346" s="232">
        <f t="shared" si="178"/>
        <v>8.169008855201465</v>
      </c>
      <c r="AK346" s="232">
        <f t="shared" si="178"/>
        <v>8.7074676408579776</v>
      </c>
      <c r="AL346" s="232">
        <f t="shared" si="178"/>
        <v>8.5774592979615374</v>
      </c>
    </row>
    <row r="347" spans="1:38" s="237" customFormat="1" outlineLevel="1" x14ac:dyDescent="0.2">
      <c r="B347" s="239" t="s">
        <v>103</v>
      </c>
      <c r="C347" s="247" t="s">
        <v>37</v>
      </c>
      <c r="E347" s="229"/>
      <c r="F347" s="229"/>
      <c r="G347" s="229">
        <f t="shared" ref="G347:AL347" si="180">SUM(G346)</f>
        <v>2</v>
      </c>
      <c r="H347" s="229">
        <f t="shared" si="180"/>
        <v>3.7</v>
      </c>
      <c r="I347" s="229">
        <f t="shared" si="180"/>
        <v>4.0999999999999996</v>
      </c>
      <c r="J347" s="229">
        <f t="shared" ref="J347" si="181">SUM(J346)</f>
        <v>4.5999999999999996</v>
      </c>
      <c r="K347" s="229">
        <f t="shared" si="180"/>
        <v>5.0485270588235283</v>
      </c>
      <c r="L347" s="229">
        <f t="shared" si="180"/>
        <v>4.9731491574569233</v>
      </c>
      <c r="M347" s="229">
        <f t="shared" si="180"/>
        <v>5.3009534117647048</v>
      </c>
      <c r="N347" s="229">
        <f t="shared" si="180"/>
        <v>5.2218066153297693</v>
      </c>
      <c r="O347" s="229">
        <f t="shared" si="180"/>
        <v>5.5660010823529404</v>
      </c>
      <c r="P347" s="229">
        <f t="shared" si="180"/>
        <v>5.4828969460962576</v>
      </c>
      <c r="Q347" s="229">
        <f t="shared" si="180"/>
        <v>5.3456297895000002</v>
      </c>
      <c r="R347" s="229">
        <f t="shared" si="180"/>
        <v>5.265815944725003</v>
      </c>
      <c r="S347" s="229">
        <f t="shared" si="180"/>
        <v>5.6129112789749991</v>
      </c>
      <c r="T347" s="229">
        <f t="shared" si="180"/>
        <v>5.529106741961253</v>
      </c>
      <c r="U347" s="229">
        <f t="shared" si="180"/>
        <v>5.8935568429237515</v>
      </c>
      <c r="V347" s="229">
        <f t="shared" si="180"/>
        <v>5.8055620790593165</v>
      </c>
      <c r="W347" s="229">
        <f t="shared" si="180"/>
        <v>6.1882346850699372</v>
      </c>
      <c r="X347" s="229">
        <f t="shared" si="180"/>
        <v>6.0958401830122826</v>
      </c>
      <c r="Y347" s="229">
        <f t="shared" si="180"/>
        <v>6.4976464193234333</v>
      </c>
      <c r="Z347" s="229">
        <f t="shared" si="180"/>
        <v>6.4006321921628961</v>
      </c>
      <c r="AA347" s="229">
        <f t="shared" si="180"/>
        <v>6.8225287402896058</v>
      </c>
      <c r="AB347" s="229">
        <f t="shared" si="180"/>
        <v>6.7206638017710425</v>
      </c>
      <c r="AC347" s="229">
        <f t="shared" si="180"/>
        <v>7.1636551773040873</v>
      </c>
      <c r="AD347" s="229">
        <f t="shared" si="180"/>
        <v>7.056696991859595</v>
      </c>
      <c r="AE347" s="229">
        <f t="shared" si="180"/>
        <v>7.5218379361692929</v>
      </c>
      <c r="AF347" s="229">
        <f t="shared" si="180"/>
        <v>7.4095318414525728</v>
      </c>
      <c r="AG347" s="229">
        <f t="shared" si="180"/>
        <v>7.8979298329777574</v>
      </c>
      <c r="AH347" s="229">
        <f t="shared" si="180"/>
        <v>7.7800084335252055</v>
      </c>
      <c r="AI347" s="229">
        <f t="shared" si="180"/>
        <v>8.2928263246266454</v>
      </c>
      <c r="AJ347" s="229">
        <f t="shared" si="180"/>
        <v>8.169008855201465</v>
      </c>
      <c r="AK347" s="229">
        <f t="shared" si="180"/>
        <v>8.7074676408579776</v>
      </c>
      <c r="AL347" s="229">
        <f t="shared" si="180"/>
        <v>8.5774592979615374</v>
      </c>
    </row>
    <row r="348" spans="1:38" s="237" customFormat="1" outlineLevel="1" x14ac:dyDescent="0.2">
      <c r="B348" s="239"/>
      <c r="C348" s="247"/>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c r="AA348" s="248"/>
      <c r="AB348" s="248"/>
      <c r="AC348" s="248"/>
      <c r="AD348" s="248"/>
      <c r="AE348" s="248"/>
      <c r="AF348" s="248"/>
      <c r="AG348" s="248"/>
      <c r="AH348" s="248"/>
      <c r="AI348" s="248"/>
      <c r="AJ348" s="248"/>
      <c r="AK348" s="248"/>
      <c r="AL348" s="248"/>
    </row>
    <row r="349" spans="1:38" s="262" customFormat="1" outlineLevel="1" x14ac:dyDescent="0.2">
      <c r="B349" s="246" t="s">
        <v>201</v>
      </c>
      <c r="C349" s="205"/>
      <c r="D349" s="279"/>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c r="AA349" s="264"/>
      <c r="AB349" s="264"/>
      <c r="AC349" s="264"/>
      <c r="AD349" s="264"/>
      <c r="AE349" s="264"/>
      <c r="AF349" s="264"/>
      <c r="AG349" s="264"/>
      <c r="AH349" s="264"/>
      <c r="AI349" s="264"/>
      <c r="AJ349" s="264"/>
      <c r="AK349" s="264"/>
      <c r="AL349" s="264"/>
    </row>
    <row r="350" spans="1:38" s="262" customFormat="1" outlineLevel="1" x14ac:dyDescent="0.2">
      <c r="A350" s="218"/>
      <c r="B350" s="234" t="s">
        <v>202</v>
      </c>
      <c r="C350" s="205" t="s">
        <v>39</v>
      </c>
      <c r="D350" s="279"/>
      <c r="E350" s="281"/>
      <c r="F350" s="281"/>
      <c r="G350" s="281">
        <f>G353/G$112</f>
        <v>3.1446540880503145E-2</v>
      </c>
      <c r="H350" s="281">
        <f>H353/H$112</f>
        <v>5.2112676056338028E-2</v>
      </c>
      <c r="I350" s="281">
        <f>I353/I$112</f>
        <v>5.95065312046444E-2</v>
      </c>
      <c r="J350" s="281">
        <f>J353/J$112</f>
        <v>6.0130718954248361E-2</v>
      </c>
      <c r="K350" s="282">
        <f t="shared" ref="K350:AL350" si="182">J350</f>
        <v>6.0130718954248361E-2</v>
      </c>
      <c r="L350" s="282">
        <f t="shared" si="182"/>
        <v>6.0130718954248361E-2</v>
      </c>
      <c r="M350" s="282">
        <f t="shared" si="182"/>
        <v>6.0130718954248361E-2</v>
      </c>
      <c r="N350" s="282">
        <f t="shared" si="182"/>
        <v>6.0130718954248361E-2</v>
      </c>
      <c r="O350" s="282">
        <f t="shared" si="182"/>
        <v>6.0130718954248361E-2</v>
      </c>
      <c r="P350" s="282">
        <f t="shared" si="182"/>
        <v>6.0130718954248361E-2</v>
      </c>
      <c r="Q350" s="575">
        <v>5.5E-2</v>
      </c>
      <c r="R350" s="282">
        <f t="shared" si="182"/>
        <v>5.5E-2</v>
      </c>
      <c r="S350" s="282">
        <f t="shared" si="182"/>
        <v>5.5E-2</v>
      </c>
      <c r="T350" s="282">
        <f t="shared" si="182"/>
        <v>5.5E-2</v>
      </c>
      <c r="U350" s="282">
        <f t="shared" si="182"/>
        <v>5.5E-2</v>
      </c>
      <c r="V350" s="282">
        <f t="shared" si="182"/>
        <v>5.5E-2</v>
      </c>
      <c r="W350" s="282">
        <f t="shared" si="182"/>
        <v>5.5E-2</v>
      </c>
      <c r="X350" s="282">
        <f t="shared" si="182"/>
        <v>5.5E-2</v>
      </c>
      <c r="Y350" s="282">
        <f t="shared" si="182"/>
        <v>5.5E-2</v>
      </c>
      <c r="Z350" s="282">
        <f t="shared" si="182"/>
        <v>5.5E-2</v>
      </c>
      <c r="AA350" s="282">
        <f t="shared" si="182"/>
        <v>5.5E-2</v>
      </c>
      <c r="AB350" s="282">
        <f t="shared" si="182"/>
        <v>5.5E-2</v>
      </c>
      <c r="AC350" s="282">
        <f t="shared" si="182"/>
        <v>5.5E-2</v>
      </c>
      <c r="AD350" s="282">
        <f t="shared" si="182"/>
        <v>5.5E-2</v>
      </c>
      <c r="AE350" s="282">
        <f t="shared" si="182"/>
        <v>5.5E-2</v>
      </c>
      <c r="AF350" s="282">
        <f t="shared" si="182"/>
        <v>5.5E-2</v>
      </c>
      <c r="AG350" s="282">
        <f t="shared" si="182"/>
        <v>5.5E-2</v>
      </c>
      <c r="AH350" s="282">
        <f t="shared" si="182"/>
        <v>5.5E-2</v>
      </c>
      <c r="AI350" s="282">
        <f t="shared" si="182"/>
        <v>5.5E-2</v>
      </c>
      <c r="AJ350" s="282">
        <f t="shared" si="182"/>
        <v>5.5E-2</v>
      </c>
      <c r="AK350" s="282">
        <f t="shared" si="182"/>
        <v>5.5E-2</v>
      </c>
      <c r="AL350" s="282">
        <f t="shared" si="182"/>
        <v>5.5E-2</v>
      </c>
    </row>
    <row r="351" spans="1:38" s="262" customFormat="1" outlineLevel="1" x14ac:dyDescent="0.2">
      <c r="A351" s="283"/>
      <c r="B351" s="234" t="s">
        <v>203</v>
      </c>
      <c r="C351" s="205" t="s">
        <v>204</v>
      </c>
      <c r="D351" s="279"/>
      <c r="E351" s="284"/>
      <c r="F351" s="284"/>
      <c r="G351" s="284">
        <f>-G356/G352</f>
        <v>11.428571428571431</v>
      </c>
      <c r="H351" s="284">
        <f>-H356/H352</f>
        <v>11.488372093023255</v>
      </c>
      <c r="I351" s="284">
        <f>-I356/I352</f>
        <v>8.6071428571428577</v>
      </c>
      <c r="J351" s="284">
        <f>-J356/J352</f>
        <v>8.2105263157894708</v>
      </c>
      <c r="K351" s="250">
        <v>9.1999999999999993</v>
      </c>
      <c r="L351" s="264">
        <f t="shared" ref="L351:AL351" si="183">K351</f>
        <v>9.1999999999999993</v>
      </c>
      <c r="M351" s="264">
        <f t="shared" si="183"/>
        <v>9.1999999999999993</v>
      </c>
      <c r="N351" s="264">
        <f t="shared" si="183"/>
        <v>9.1999999999999993</v>
      </c>
      <c r="O351" s="264">
        <f t="shared" si="183"/>
        <v>9.1999999999999993</v>
      </c>
      <c r="P351" s="264">
        <f t="shared" si="183"/>
        <v>9.1999999999999993</v>
      </c>
      <c r="Q351" s="264">
        <f t="shared" si="183"/>
        <v>9.1999999999999993</v>
      </c>
      <c r="R351" s="264">
        <f t="shared" si="183"/>
        <v>9.1999999999999993</v>
      </c>
      <c r="S351" s="264">
        <f t="shared" si="183"/>
        <v>9.1999999999999993</v>
      </c>
      <c r="T351" s="264">
        <f t="shared" si="183"/>
        <v>9.1999999999999993</v>
      </c>
      <c r="U351" s="264">
        <f t="shared" si="183"/>
        <v>9.1999999999999993</v>
      </c>
      <c r="V351" s="264">
        <f t="shared" si="183"/>
        <v>9.1999999999999993</v>
      </c>
      <c r="W351" s="264">
        <f t="shared" si="183"/>
        <v>9.1999999999999993</v>
      </c>
      <c r="X351" s="264">
        <f t="shared" si="183"/>
        <v>9.1999999999999993</v>
      </c>
      <c r="Y351" s="264">
        <f t="shared" si="183"/>
        <v>9.1999999999999993</v>
      </c>
      <c r="Z351" s="264">
        <f t="shared" si="183"/>
        <v>9.1999999999999993</v>
      </c>
      <c r="AA351" s="264">
        <f t="shared" si="183"/>
        <v>9.1999999999999993</v>
      </c>
      <c r="AB351" s="264">
        <f t="shared" si="183"/>
        <v>9.1999999999999993</v>
      </c>
      <c r="AC351" s="264">
        <f t="shared" si="183"/>
        <v>9.1999999999999993</v>
      </c>
      <c r="AD351" s="264">
        <f t="shared" si="183"/>
        <v>9.1999999999999993</v>
      </c>
      <c r="AE351" s="264">
        <f t="shared" si="183"/>
        <v>9.1999999999999993</v>
      </c>
      <c r="AF351" s="264">
        <f t="shared" si="183"/>
        <v>9.1999999999999993</v>
      </c>
      <c r="AG351" s="264">
        <f t="shared" si="183"/>
        <v>9.1999999999999993</v>
      </c>
      <c r="AH351" s="264">
        <f t="shared" si="183"/>
        <v>9.1999999999999993</v>
      </c>
      <c r="AI351" s="264">
        <f t="shared" si="183"/>
        <v>9.1999999999999993</v>
      </c>
      <c r="AJ351" s="264">
        <f t="shared" si="183"/>
        <v>9.1999999999999993</v>
      </c>
      <c r="AK351" s="264">
        <f t="shared" si="183"/>
        <v>9.1999999999999993</v>
      </c>
      <c r="AL351" s="264">
        <f t="shared" si="183"/>
        <v>9.1999999999999993</v>
      </c>
    </row>
    <row r="352" spans="1:38" s="262" customFormat="1" outlineLevel="1" x14ac:dyDescent="0.2">
      <c r="A352" s="285"/>
      <c r="B352" s="234" t="s">
        <v>205</v>
      </c>
      <c r="C352" s="205" t="s">
        <v>37</v>
      </c>
      <c r="D352" s="279"/>
      <c r="E352" s="232"/>
      <c r="F352" s="232"/>
      <c r="G352" s="232">
        <f>G340</f>
        <v>-3.5</v>
      </c>
      <c r="H352" s="232">
        <f>H340</f>
        <v>-4.3</v>
      </c>
      <c r="I352" s="232">
        <f>I340</f>
        <v>-5.6</v>
      </c>
      <c r="J352" s="232">
        <f>J340</f>
        <v>-5.7000000000000011</v>
      </c>
      <c r="K352" s="258">
        <f t="shared" ref="K352:AL352" si="184">J356/-K351</f>
        <v>-5.0869565217391308</v>
      </c>
      <c r="L352" s="258">
        <f t="shared" si="184"/>
        <v>-5.0827794062048257</v>
      </c>
      <c r="M352" s="258">
        <f t="shared" si="184"/>
        <v>-5.0708630748191839</v>
      </c>
      <c r="N352" s="258">
        <f t="shared" si="184"/>
        <v>-5.0958728940523921</v>
      </c>
      <c r="O352" s="258">
        <f t="shared" si="184"/>
        <v>-5.1095613420173249</v>
      </c>
      <c r="P352" s="258">
        <f t="shared" si="184"/>
        <v>-5.1591743572711959</v>
      </c>
      <c r="Q352" s="258">
        <f t="shared" si="184"/>
        <v>-5.1943615951869644</v>
      </c>
      <c r="R352" s="258">
        <f t="shared" si="184"/>
        <v>-5.2108037902209903</v>
      </c>
      <c r="S352" s="258">
        <f t="shared" si="184"/>
        <v>-5.216783372232296</v>
      </c>
      <c r="T352" s="258">
        <f t="shared" si="184"/>
        <v>-5.2598407533999811</v>
      </c>
      <c r="U352" s="258">
        <f t="shared" si="184"/>
        <v>-5.2891087956349025</v>
      </c>
      <c r="V352" s="258">
        <f t="shared" si="184"/>
        <v>-5.3548096703402122</v>
      </c>
      <c r="W352" s="258">
        <f t="shared" si="184"/>
        <v>-5.4038044973748969</v>
      </c>
      <c r="X352" s="258">
        <f t="shared" si="184"/>
        <v>-5.4890686482113145</v>
      </c>
      <c r="Y352" s="258">
        <f t="shared" si="184"/>
        <v>-5.5550220759070719</v>
      </c>
      <c r="Z352" s="258">
        <f t="shared" si="184"/>
        <v>-5.6574812436697197</v>
      </c>
      <c r="AA352" s="258">
        <f t="shared" si="184"/>
        <v>-5.7382585206798478</v>
      </c>
      <c r="AB352" s="258">
        <f t="shared" si="184"/>
        <v>-5.8561139793330819</v>
      </c>
      <c r="AC352" s="258">
        <f t="shared" si="184"/>
        <v>-5.950086786119817</v>
      </c>
      <c r="AD352" s="258">
        <f t="shared" si="184"/>
        <v>-6.0819963938572377</v>
      </c>
      <c r="AE352" s="258">
        <f t="shared" si="184"/>
        <v>-6.1879421110314068</v>
      </c>
      <c r="AF352" s="258">
        <f t="shared" si="184"/>
        <v>-6.3329307876768297</v>
      </c>
      <c r="AG352" s="258">
        <f t="shared" si="184"/>
        <v>-6.4499526413481059</v>
      </c>
      <c r="AH352" s="258">
        <f t="shared" si="184"/>
        <v>-6.6073414665252423</v>
      </c>
      <c r="AI352" s="258">
        <f t="shared" si="184"/>
        <v>-6.7348052672861076</v>
      </c>
      <c r="AJ352" s="258">
        <f t="shared" si="184"/>
        <v>-6.9041553822144275</v>
      </c>
      <c r="AK352" s="258">
        <f t="shared" si="184"/>
        <v>-7.0416394553651926</v>
      </c>
      <c r="AL352" s="258">
        <f t="shared" si="184"/>
        <v>-7.2227077363970169</v>
      </c>
    </row>
    <row r="353" spans="1:38" s="262" customFormat="1" outlineLevel="1" x14ac:dyDescent="0.2">
      <c r="A353" s="285"/>
      <c r="B353" s="234" t="s">
        <v>206</v>
      </c>
      <c r="C353" s="205" t="s">
        <v>37</v>
      </c>
      <c r="D353" s="279"/>
      <c r="E353" s="232"/>
      <c r="F353" s="232"/>
      <c r="G353" s="232">
        <f>-G259</f>
        <v>2</v>
      </c>
      <c r="H353" s="232">
        <f>-H259</f>
        <v>3.7</v>
      </c>
      <c r="I353" s="232">
        <f>-I259</f>
        <v>4.0999999999999996</v>
      </c>
      <c r="J353" s="232">
        <f>-J259</f>
        <v>4.5999999999999996</v>
      </c>
      <c r="K353" s="232">
        <f t="shared" ref="K353:AL353" si="185">K350*K112</f>
        <v>5.0485270588235283</v>
      </c>
      <c r="L353" s="232">
        <f t="shared" si="185"/>
        <v>4.9731491574569233</v>
      </c>
      <c r="M353" s="232">
        <f t="shared" si="185"/>
        <v>5.3009534117647048</v>
      </c>
      <c r="N353" s="232">
        <f t="shared" si="185"/>
        <v>5.2218066153297693</v>
      </c>
      <c r="O353" s="232">
        <f t="shared" si="185"/>
        <v>5.5660010823529404</v>
      </c>
      <c r="P353" s="232">
        <f t="shared" si="185"/>
        <v>5.4828969460962576</v>
      </c>
      <c r="Q353" s="232">
        <f t="shared" si="185"/>
        <v>5.3456297895000002</v>
      </c>
      <c r="R353" s="232">
        <f t="shared" si="185"/>
        <v>5.265815944725003</v>
      </c>
      <c r="S353" s="232">
        <f t="shared" si="185"/>
        <v>5.6129112789749991</v>
      </c>
      <c r="T353" s="232">
        <f t="shared" si="185"/>
        <v>5.529106741961253</v>
      </c>
      <c r="U353" s="232">
        <f t="shared" si="185"/>
        <v>5.8935568429237515</v>
      </c>
      <c r="V353" s="232">
        <f t="shared" si="185"/>
        <v>5.8055620790593165</v>
      </c>
      <c r="W353" s="232">
        <f t="shared" si="185"/>
        <v>6.1882346850699372</v>
      </c>
      <c r="X353" s="232">
        <f t="shared" si="185"/>
        <v>6.0958401830122826</v>
      </c>
      <c r="Y353" s="232">
        <f t="shared" si="185"/>
        <v>6.4976464193234333</v>
      </c>
      <c r="Z353" s="232">
        <f t="shared" si="185"/>
        <v>6.4006321921628961</v>
      </c>
      <c r="AA353" s="232">
        <f t="shared" si="185"/>
        <v>6.8225287402896058</v>
      </c>
      <c r="AB353" s="232">
        <f t="shared" si="185"/>
        <v>6.7206638017710425</v>
      </c>
      <c r="AC353" s="232">
        <f t="shared" si="185"/>
        <v>7.1636551773040873</v>
      </c>
      <c r="AD353" s="232">
        <f t="shared" si="185"/>
        <v>7.056696991859595</v>
      </c>
      <c r="AE353" s="232">
        <f t="shared" si="185"/>
        <v>7.5218379361692929</v>
      </c>
      <c r="AF353" s="232">
        <f t="shared" si="185"/>
        <v>7.4095318414525728</v>
      </c>
      <c r="AG353" s="232">
        <f t="shared" si="185"/>
        <v>7.8979298329777574</v>
      </c>
      <c r="AH353" s="232">
        <f t="shared" si="185"/>
        <v>7.7800084335252055</v>
      </c>
      <c r="AI353" s="232">
        <f t="shared" si="185"/>
        <v>8.2928263246266454</v>
      </c>
      <c r="AJ353" s="232">
        <f t="shared" si="185"/>
        <v>8.169008855201465</v>
      </c>
      <c r="AK353" s="232">
        <f t="shared" si="185"/>
        <v>8.7074676408579776</v>
      </c>
      <c r="AL353" s="232">
        <f t="shared" si="185"/>
        <v>8.5774592979615374</v>
      </c>
    </row>
    <row r="354" spans="1:38" s="262" customFormat="1" outlineLevel="1" x14ac:dyDescent="0.2">
      <c r="A354" s="285"/>
      <c r="B354" s="234" t="s">
        <v>101</v>
      </c>
      <c r="C354" s="205" t="s">
        <v>37</v>
      </c>
      <c r="D354" s="279"/>
      <c r="E354" s="284"/>
      <c r="F354" s="284"/>
      <c r="G354" s="284">
        <f>G356-SUM(F356,G352:G353)</f>
        <v>41.500000000000007</v>
      </c>
      <c r="H354" s="284">
        <f>H356-SUM(G356,H352:H353)</f>
        <v>9.9999999999999787</v>
      </c>
      <c r="I354" s="284">
        <f>I356-SUM(H356,I352:I353)</f>
        <v>0.30000000000001137</v>
      </c>
      <c r="J354" s="284">
        <f>J356-SUM(I356,J352:J353)</f>
        <v>-0.30000000000000426</v>
      </c>
      <c r="K354" s="250">
        <v>0</v>
      </c>
      <c r="L354" s="250">
        <v>0</v>
      </c>
      <c r="M354" s="250">
        <v>0</v>
      </c>
      <c r="N354" s="250">
        <v>0</v>
      </c>
      <c r="O354" s="250">
        <v>0</v>
      </c>
      <c r="P354" s="250">
        <v>0</v>
      </c>
      <c r="Q354" s="250">
        <v>0</v>
      </c>
      <c r="R354" s="250">
        <v>0</v>
      </c>
      <c r="S354" s="250">
        <v>0</v>
      </c>
      <c r="T354" s="250">
        <v>0</v>
      </c>
      <c r="U354" s="250">
        <v>0</v>
      </c>
      <c r="V354" s="250">
        <v>0</v>
      </c>
      <c r="W354" s="250">
        <v>0</v>
      </c>
      <c r="X354" s="250">
        <v>0</v>
      </c>
      <c r="Y354" s="250">
        <v>0</v>
      </c>
      <c r="Z354" s="250">
        <v>0</v>
      </c>
      <c r="AA354" s="250">
        <v>0</v>
      </c>
      <c r="AB354" s="250">
        <v>0</v>
      </c>
      <c r="AC354" s="250">
        <v>0</v>
      </c>
      <c r="AD354" s="250">
        <v>0</v>
      </c>
      <c r="AE354" s="250">
        <v>0</v>
      </c>
      <c r="AF354" s="250">
        <v>0</v>
      </c>
      <c r="AG354" s="250">
        <v>0</v>
      </c>
      <c r="AH354" s="250">
        <v>0</v>
      </c>
      <c r="AI354" s="250">
        <v>0</v>
      </c>
      <c r="AJ354" s="250">
        <v>0</v>
      </c>
      <c r="AK354" s="250">
        <v>0</v>
      </c>
      <c r="AL354" s="250">
        <v>0</v>
      </c>
    </row>
    <row r="355" spans="1:38" s="262" customFormat="1" outlineLevel="1" x14ac:dyDescent="0.2">
      <c r="A355" s="286"/>
      <c r="B355" s="251" t="s">
        <v>67</v>
      </c>
      <c r="C355" s="260" t="s">
        <v>67</v>
      </c>
      <c r="D355" s="279"/>
      <c r="E355" s="287"/>
      <c r="F355" s="287"/>
      <c r="G355" s="287" t="s">
        <v>67</v>
      </c>
      <c r="H355" s="287" t="s">
        <v>67</v>
      </c>
      <c r="I355" s="287" t="s">
        <v>67</v>
      </c>
      <c r="J355" s="287" t="s">
        <v>67</v>
      </c>
      <c r="K355" s="287" t="s">
        <v>67</v>
      </c>
      <c r="L355" s="287" t="s">
        <v>67</v>
      </c>
      <c r="M355" s="287" t="s">
        <v>67</v>
      </c>
      <c r="N355" s="287" t="s">
        <v>67</v>
      </c>
      <c r="O355" s="287" t="s">
        <v>67</v>
      </c>
      <c r="P355" s="287" t="s">
        <v>67</v>
      </c>
      <c r="Q355" s="287" t="s">
        <v>67</v>
      </c>
      <c r="R355" s="287" t="s">
        <v>67</v>
      </c>
      <c r="S355" s="287" t="s">
        <v>67</v>
      </c>
      <c r="T355" s="287" t="s">
        <v>67</v>
      </c>
      <c r="U355" s="287" t="s">
        <v>67</v>
      </c>
      <c r="V355" s="287" t="s">
        <v>67</v>
      </c>
      <c r="W355" s="287" t="s">
        <v>67</v>
      </c>
      <c r="X355" s="287" t="s">
        <v>67</v>
      </c>
      <c r="Y355" s="287" t="s">
        <v>67</v>
      </c>
      <c r="Z355" s="287" t="s">
        <v>67</v>
      </c>
      <c r="AA355" s="287" t="s">
        <v>67</v>
      </c>
      <c r="AB355" s="287" t="s">
        <v>67</v>
      </c>
      <c r="AC355" s="287" t="s">
        <v>67</v>
      </c>
      <c r="AD355" s="287" t="s">
        <v>67</v>
      </c>
      <c r="AE355" s="287" t="s">
        <v>67</v>
      </c>
      <c r="AF355" s="287" t="s">
        <v>67</v>
      </c>
      <c r="AG355" s="287" t="s">
        <v>67</v>
      </c>
      <c r="AH355" s="287" t="s">
        <v>67</v>
      </c>
      <c r="AI355" s="287" t="s">
        <v>67</v>
      </c>
      <c r="AJ355" s="287" t="s">
        <v>67</v>
      </c>
      <c r="AK355" s="287" t="s">
        <v>67</v>
      </c>
      <c r="AL355" s="287" t="s">
        <v>67</v>
      </c>
    </row>
    <row r="356" spans="1:38" s="237" customFormat="1" outlineLevel="1" x14ac:dyDescent="0.2">
      <c r="B356" s="239" t="s">
        <v>207</v>
      </c>
      <c r="C356" s="247" t="s">
        <v>37</v>
      </c>
      <c r="E356" s="288"/>
      <c r="F356" s="288"/>
      <c r="G356" s="288">
        <f>G300</f>
        <v>40.000000000000007</v>
      </c>
      <c r="H356" s="288">
        <f>H300</f>
        <v>49.399999999999991</v>
      </c>
      <c r="I356" s="288">
        <f>I300</f>
        <v>48.2</v>
      </c>
      <c r="J356" s="288">
        <f>J300</f>
        <v>46.8</v>
      </c>
      <c r="K356" s="259">
        <f t="shared" ref="K356:AL356" si="186">SUM(J356,K352:K355)</f>
        <v>46.761570537084395</v>
      </c>
      <c r="L356" s="259">
        <f t="shared" si="186"/>
        <v>46.65194028833649</v>
      </c>
      <c r="M356" s="259">
        <f t="shared" si="186"/>
        <v>46.882030625282006</v>
      </c>
      <c r="N356" s="259">
        <f t="shared" si="186"/>
        <v>47.007964346559383</v>
      </c>
      <c r="O356" s="259">
        <f t="shared" si="186"/>
        <v>47.464404086895001</v>
      </c>
      <c r="P356" s="259">
        <f t="shared" si="186"/>
        <v>47.788126675720065</v>
      </c>
      <c r="Q356" s="259">
        <f t="shared" si="186"/>
        <v>47.939394870033105</v>
      </c>
      <c r="R356" s="259">
        <f t="shared" si="186"/>
        <v>47.994407024537118</v>
      </c>
      <c r="S356" s="259">
        <f t="shared" si="186"/>
        <v>48.390534931279824</v>
      </c>
      <c r="T356" s="259">
        <f t="shared" si="186"/>
        <v>48.659800919841096</v>
      </c>
      <c r="U356" s="259">
        <f t="shared" si="186"/>
        <v>49.264248967129944</v>
      </c>
      <c r="V356" s="259">
        <f t="shared" si="186"/>
        <v>49.715001375849049</v>
      </c>
      <c r="W356" s="259">
        <f t="shared" si="186"/>
        <v>50.499431563544086</v>
      </c>
      <c r="X356" s="259">
        <f t="shared" si="186"/>
        <v>51.106203098345055</v>
      </c>
      <c r="Y356" s="259">
        <f t="shared" si="186"/>
        <v>52.048827441761418</v>
      </c>
      <c r="Z356" s="259">
        <f t="shared" si="186"/>
        <v>52.791978390254592</v>
      </c>
      <c r="AA356" s="259">
        <f t="shared" si="186"/>
        <v>53.876248609864348</v>
      </c>
      <c r="AB356" s="259">
        <f t="shared" si="186"/>
        <v>54.740798432302313</v>
      </c>
      <c r="AC356" s="259">
        <f t="shared" si="186"/>
        <v>55.954366823486581</v>
      </c>
      <c r="AD356" s="259">
        <f t="shared" si="186"/>
        <v>56.929067421488938</v>
      </c>
      <c r="AE356" s="259">
        <f t="shared" si="186"/>
        <v>58.262963246626825</v>
      </c>
      <c r="AF356" s="259">
        <f t="shared" si="186"/>
        <v>59.339564300402571</v>
      </c>
      <c r="AG356" s="259">
        <f t="shared" si="186"/>
        <v>60.787541492032226</v>
      </c>
      <c r="AH356" s="259">
        <f t="shared" si="186"/>
        <v>61.960208459032188</v>
      </c>
      <c r="AI356" s="259">
        <f t="shared" si="186"/>
        <v>63.518229516372728</v>
      </c>
      <c r="AJ356" s="259">
        <f t="shared" si="186"/>
        <v>64.783082989359769</v>
      </c>
      <c r="AK356" s="259">
        <f t="shared" si="186"/>
        <v>66.448911174852554</v>
      </c>
      <c r="AL356" s="259">
        <f t="shared" si="186"/>
        <v>67.803662736417067</v>
      </c>
    </row>
    <row r="357" spans="1:38" ht="11.25" customHeight="1" x14ac:dyDescent="0.2">
      <c r="B357" s="290"/>
      <c r="C357" s="247"/>
      <c r="E357" s="248"/>
      <c r="F357" s="248"/>
    </row>
    <row r="358" spans="1:38" s="222" customFormat="1" x14ac:dyDescent="0.2">
      <c r="A358" s="222" t="s">
        <v>7</v>
      </c>
      <c r="B358" s="276" t="s">
        <v>208</v>
      </c>
      <c r="C358" s="277"/>
      <c r="E358" s="278"/>
      <c r="F358" s="278"/>
      <c r="G358" s="278"/>
      <c r="H358" s="278"/>
      <c r="I358" s="278"/>
      <c r="J358" s="278"/>
      <c r="K358" s="278"/>
      <c r="L358" s="278"/>
      <c r="M358" s="278"/>
      <c r="N358" s="278"/>
      <c r="O358" s="278"/>
      <c r="P358" s="278"/>
      <c r="Q358" s="278"/>
      <c r="R358" s="278"/>
      <c r="S358" s="278"/>
      <c r="T358" s="278"/>
      <c r="U358" s="278"/>
      <c r="V358" s="278"/>
      <c r="W358" s="278"/>
      <c r="X358" s="278"/>
      <c r="Y358" s="278"/>
      <c r="Z358" s="278"/>
      <c r="AA358" s="278"/>
      <c r="AB358" s="278"/>
      <c r="AC358" s="278"/>
      <c r="AD358" s="278"/>
      <c r="AE358" s="278"/>
      <c r="AF358" s="278"/>
      <c r="AG358" s="278"/>
      <c r="AH358" s="278"/>
      <c r="AI358" s="278"/>
      <c r="AJ358" s="278"/>
      <c r="AK358" s="278"/>
      <c r="AL358" s="278"/>
    </row>
    <row r="359" spans="1:38" outlineLevel="1" x14ac:dyDescent="0.2"/>
    <row r="360" spans="1:38" outlineLevel="1" x14ac:dyDescent="0.2">
      <c r="B360" s="246" t="s">
        <v>209</v>
      </c>
    </row>
    <row r="361" spans="1:38" outlineLevel="1" x14ac:dyDescent="0.2">
      <c r="B361" s="234" t="s">
        <v>60</v>
      </c>
      <c r="C361" s="205" t="s">
        <v>37</v>
      </c>
      <c r="E361" s="256"/>
      <c r="F361" s="256"/>
      <c r="G361" s="256">
        <f t="shared" ref="G361:AL361" si="187">G$112</f>
        <v>63.6</v>
      </c>
      <c r="H361" s="256">
        <f t="shared" si="187"/>
        <v>71</v>
      </c>
      <c r="I361" s="256">
        <f t="shared" si="187"/>
        <v>68.900000000000006</v>
      </c>
      <c r="J361" s="256">
        <f t="shared" si="187"/>
        <v>76.5</v>
      </c>
      <c r="K361" s="256">
        <f t="shared" si="187"/>
        <v>83.959199999999996</v>
      </c>
      <c r="L361" s="256">
        <f t="shared" si="187"/>
        <v>82.705632727272757</v>
      </c>
      <c r="M361" s="256">
        <f t="shared" si="187"/>
        <v>88.15715999999999</v>
      </c>
      <c r="N361" s="256">
        <f t="shared" si="187"/>
        <v>86.840914363636386</v>
      </c>
      <c r="O361" s="256">
        <f t="shared" si="187"/>
        <v>92.565017999999995</v>
      </c>
      <c r="P361" s="256">
        <f t="shared" si="187"/>
        <v>91.182960081818209</v>
      </c>
      <c r="Q361" s="256">
        <f t="shared" si="187"/>
        <v>97.193268900000007</v>
      </c>
      <c r="R361" s="256">
        <f t="shared" si="187"/>
        <v>95.742108085909138</v>
      </c>
      <c r="S361" s="256">
        <f t="shared" si="187"/>
        <v>102.05293234499999</v>
      </c>
      <c r="T361" s="256">
        <f t="shared" si="187"/>
        <v>100.5292134902046</v>
      </c>
      <c r="U361" s="256">
        <f t="shared" si="187"/>
        <v>107.15557896225002</v>
      </c>
      <c r="V361" s="256">
        <f t="shared" si="187"/>
        <v>105.55567416471484</v>
      </c>
      <c r="W361" s="256">
        <f t="shared" si="187"/>
        <v>112.51335791036249</v>
      </c>
      <c r="X361" s="256">
        <f t="shared" si="187"/>
        <v>110.83345787295059</v>
      </c>
      <c r="Y361" s="256">
        <f t="shared" si="187"/>
        <v>118.13902580588061</v>
      </c>
      <c r="Z361" s="256">
        <f t="shared" si="187"/>
        <v>116.37513076659812</v>
      </c>
      <c r="AA361" s="256">
        <f t="shared" si="187"/>
        <v>124.04597709617465</v>
      </c>
      <c r="AB361" s="256">
        <f t="shared" si="187"/>
        <v>122.19388730492804</v>
      </c>
      <c r="AC361" s="256">
        <f t="shared" si="187"/>
        <v>130.24827595098341</v>
      </c>
      <c r="AD361" s="256">
        <f t="shared" si="187"/>
        <v>128.30358167017445</v>
      </c>
      <c r="AE361" s="256">
        <f t="shared" si="187"/>
        <v>136.7606897485326</v>
      </c>
      <c r="AF361" s="256">
        <f t="shared" si="187"/>
        <v>134.71876075368314</v>
      </c>
      <c r="AG361" s="256">
        <f t="shared" si="187"/>
        <v>143.59872423595922</v>
      </c>
      <c r="AH361" s="256">
        <f t="shared" si="187"/>
        <v>141.45469879136738</v>
      </c>
      <c r="AI361" s="256">
        <f t="shared" si="187"/>
        <v>150.77866044775718</v>
      </c>
      <c r="AJ361" s="256">
        <f t="shared" si="187"/>
        <v>148.52743373093571</v>
      </c>
      <c r="AK361" s="256">
        <f t="shared" si="187"/>
        <v>158.31759347014506</v>
      </c>
      <c r="AL361" s="256">
        <f t="shared" si="187"/>
        <v>155.9538054174825</v>
      </c>
    </row>
    <row r="362" spans="1:38" outlineLevel="1" x14ac:dyDescent="0.2">
      <c r="B362" s="234" t="s">
        <v>210</v>
      </c>
      <c r="C362" s="205" t="s">
        <v>37</v>
      </c>
      <c r="E362" s="284"/>
      <c r="F362" s="284"/>
      <c r="G362" s="284">
        <f>G290</f>
        <v>2.1</v>
      </c>
      <c r="H362" s="284">
        <f>H290</f>
        <v>1.3</v>
      </c>
      <c r="I362" s="284">
        <f>I290</f>
        <v>1.5</v>
      </c>
      <c r="J362" s="284">
        <f>J290</f>
        <v>1.1000000000000001</v>
      </c>
      <c r="K362" s="291">
        <f t="shared" ref="K362:AL362" si="188">K361*K363</f>
        <v>1.2072564705882354</v>
      </c>
      <c r="L362" s="291">
        <f t="shared" si="188"/>
        <v>1.1892313202614384</v>
      </c>
      <c r="M362" s="291">
        <f t="shared" si="188"/>
        <v>1.267619294117647</v>
      </c>
      <c r="N362" s="291">
        <f t="shared" si="188"/>
        <v>1.2486928862745101</v>
      </c>
      <c r="O362" s="291">
        <f t="shared" si="188"/>
        <v>1.3310002588235295</v>
      </c>
      <c r="P362" s="291">
        <f t="shared" si="188"/>
        <v>1.3111275305882357</v>
      </c>
      <c r="Q362" s="291">
        <f t="shared" si="188"/>
        <v>1.3975502717647061</v>
      </c>
      <c r="R362" s="291">
        <f t="shared" si="188"/>
        <v>1.3766839071176478</v>
      </c>
      <c r="S362" s="291">
        <f t="shared" si="188"/>
        <v>1.4674277853529412</v>
      </c>
      <c r="T362" s="291">
        <f t="shared" si="188"/>
        <v>1.4455181024735302</v>
      </c>
      <c r="U362" s="291">
        <f t="shared" si="188"/>
        <v>1.5407991746205887</v>
      </c>
      <c r="V362" s="291">
        <f t="shared" si="188"/>
        <v>1.517794007597207</v>
      </c>
      <c r="W362" s="291">
        <f t="shared" si="188"/>
        <v>1.6178391333516176</v>
      </c>
      <c r="X362" s="291">
        <f t="shared" si="188"/>
        <v>1.5936837079770674</v>
      </c>
      <c r="Y362" s="291">
        <f t="shared" si="188"/>
        <v>1.6987310900191983</v>
      </c>
      <c r="Z362" s="291">
        <f t="shared" si="188"/>
        <v>1.6733678933759208</v>
      </c>
      <c r="AA362" s="291">
        <f t="shared" si="188"/>
        <v>1.7836676445201585</v>
      </c>
      <c r="AB362" s="291">
        <f t="shared" si="188"/>
        <v>1.757036288044717</v>
      </c>
      <c r="AC362" s="291">
        <f t="shared" si="188"/>
        <v>1.8728510267461669</v>
      </c>
      <c r="AD362" s="291">
        <f t="shared" si="188"/>
        <v>1.844888102446953</v>
      </c>
      <c r="AE362" s="291">
        <f t="shared" si="188"/>
        <v>1.9664935780834754</v>
      </c>
      <c r="AF362" s="291">
        <f t="shared" si="188"/>
        <v>1.9371325075693002</v>
      </c>
      <c r="AG362" s="291">
        <f t="shared" si="188"/>
        <v>2.0648182569876492</v>
      </c>
      <c r="AH362" s="291">
        <f t="shared" si="188"/>
        <v>2.0339891329477662</v>
      </c>
      <c r="AI362" s="291">
        <f t="shared" si="188"/>
        <v>2.1680591698370315</v>
      </c>
      <c r="AJ362" s="291">
        <f t="shared" si="188"/>
        <v>2.1356885895951541</v>
      </c>
      <c r="AK362" s="291">
        <f t="shared" si="188"/>
        <v>2.2764621283288835</v>
      </c>
      <c r="AL362" s="291">
        <f t="shared" si="188"/>
        <v>2.2424730190749118</v>
      </c>
    </row>
    <row r="363" spans="1:38" outlineLevel="1" x14ac:dyDescent="0.2">
      <c r="B363" s="263" t="s">
        <v>134</v>
      </c>
      <c r="C363" s="205" t="s">
        <v>211</v>
      </c>
      <c r="E363" s="292"/>
      <c r="F363" s="292"/>
      <c r="G363" s="292">
        <f>G362/G361</f>
        <v>3.3018867924528301E-2</v>
      </c>
      <c r="H363" s="292">
        <f>H362/H361</f>
        <v>1.8309859154929577E-2</v>
      </c>
      <c r="I363" s="292">
        <f>I362/I361</f>
        <v>2.1770682148040638E-2</v>
      </c>
      <c r="J363" s="292">
        <f>J362/J361</f>
        <v>1.4379084967320262E-2</v>
      </c>
      <c r="K363" s="282">
        <f t="shared" ref="K363:AL363" si="189">J363</f>
        <v>1.4379084967320262E-2</v>
      </c>
      <c r="L363" s="282">
        <f t="shared" si="189"/>
        <v>1.4379084967320262E-2</v>
      </c>
      <c r="M363" s="282">
        <f t="shared" si="189"/>
        <v>1.4379084967320262E-2</v>
      </c>
      <c r="N363" s="282">
        <f t="shared" si="189"/>
        <v>1.4379084967320262E-2</v>
      </c>
      <c r="O363" s="282">
        <f t="shared" si="189"/>
        <v>1.4379084967320262E-2</v>
      </c>
      <c r="P363" s="282">
        <f t="shared" si="189"/>
        <v>1.4379084967320262E-2</v>
      </c>
      <c r="Q363" s="282">
        <f t="shared" si="189"/>
        <v>1.4379084967320262E-2</v>
      </c>
      <c r="R363" s="282">
        <f t="shared" si="189"/>
        <v>1.4379084967320262E-2</v>
      </c>
      <c r="S363" s="282">
        <f t="shared" si="189"/>
        <v>1.4379084967320262E-2</v>
      </c>
      <c r="T363" s="282">
        <f t="shared" si="189"/>
        <v>1.4379084967320262E-2</v>
      </c>
      <c r="U363" s="282">
        <f t="shared" si="189"/>
        <v>1.4379084967320262E-2</v>
      </c>
      <c r="V363" s="282">
        <f t="shared" si="189"/>
        <v>1.4379084967320262E-2</v>
      </c>
      <c r="W363" s="282">
        <f t="shared" si="189"/>
        <v>1.4379084967320262E-2</v>
      </c>
      <c r="X363" s="282">
        <f t="shared" si="189"/>
        <v>1.4379084967320262E-2</v>
      </c>
      <c r="Y363" s="282">
        <f t="shared" si="189"/>
        <v>1.4379084967320262E-2</v>
      </c>
      <c r="Z363" s="282">
        <f t="shared" si="189"/>
        <v>1.4379084967320262E-2</v>
      </c>
      <c r="AA363" s="282">
        <f t="shared" si="189"/>
        <v>1.4379084967320262E-2</v>
      </c>
      <c r="AB363" s="282">
        <f t="shared" si="189"/>
        <v>1.4379084967320262E-2</v>
      </c>
      <c r="AC363" s="282">
        <f t="shared" si="189"/>
        <v>1.4379084967320262E-2</v>
      </c>
      <c r="AD363" s="282">
        <f t="shared" si="189"/>
        <v>1.4379084967320262E-2</v>
      </c>
      <c r="AE363" s="282">
        <f t="shared" si="189"/>
        <v>1.4379084967320262E-2</v>
      </c>
      <c r="AF363" s="282">
        <f t="shared" si="189"/>
        <v>1.4379084967320262E-2</v>
      </c>
      <c r="AG363" s="282">
        <f t="shared" si="189"/>
        <v>1.4379084967320262E-2</v>
      </c>
      <c r="AH363" s="282">
        <f t="shared" si="189"/>
        <v>1.4379084967320262E-2</v>
      </c>
      <c r="AI363" s="282">
        <f t="shared" si="189"/>
        <v>1.4379084967320262E-2</v>
      </c>
      <c r="AJ363" s="282">
        <f t="shared" si="189"/>
        <v>1.4379084967320262E-2</v>
      </c>
      <c r="AK363" s="282">
        <f t="shared" si="189"/>
        <v>1.4379084967320262E-2</v>
      </c>
      <c r="AL363" s="282">
        <f t="shared" si="189"/>
        <v>1.4379084967320262E-2</v>
      </c>
    </row>
    <row r="364" spans="1:38" outlineLevel="1" x14ac:dyDescent="0.2">
      <c r="B364" s="263"/>
      <c r="E364" s="292"/>
      <c r="F364" s="292"/>
      <c r="G364" s="292"/>
      <c r="H364" s="292"/>
      <c r="I364" s="292"/>
      <c r="J364" s="29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row>
    <row r="365" spans="1:38" outlineLevel="1" x14ac:dyDescent="0.2">
      <c r="B365" s="246" t="s">
        <v>212</v>
      </c>
    </row>
    <row r="366" spans="1:38" outlineLevel="1" x14ac:dyDescent="0.2">
      <c r="B366" s="234" t="s">
        <v>60</v>
      </c>
      <c r="C366" s="205" t="s">
        <v>37</v>
      </c>
      <c r="E366" s="256"/>
      <c r="F366" s="256"/>
      <c r="G366" s="256">
        <f t="shared" ref="G366:AL366" si="190">G$112</f>
        <v>63.6</v>
      </c>
      <c r="H366" s="256">
        <f t="shared" si="190"/>
        <v>71</v>
      </c>
      <c r="I366" s="256">
        <f t="shared" si="190"/>
        <v>68.900000000000006</v>
      </c>
      <c r="J366" s="256">
        <f t="shared" si="190"/>
        <v>76.5</v>
      </c>
      <c r="K366" s="256">
        <f t="shared" si="190"/>
        <v>83.959199999999996</v>
      </c>
      <c r="L366" s="256">
        <f t="shared" si="190"/>
        <v>82.705632727272757</v>
      </c>
      <c r="M366" s="256">
        <f t="shared" si="190"/>
        <v>88.15715999999999</v>
      </c>
      <c r="N366" s="256">
        <f t="shared" si="190"/>
        <v>86.840914363636386</v>
      </c>
      <c r="O366" s="256">
        <f t="shared" si="190"/>
        <v>92.565017999999995</v>
      </c>
      <c r="P366" s="256">
        <f t="shared" si="190"/>
        <v>91.182960081818209</v>
      </c>
      <c r="Q366" s="256">
        <f t="shared" si="190"/>
        <v>97.193268900000007</v>
      </c>
      <c r="R366" s="256">
        <f t="shared" si="190"/>
        <v>95.742108085909138</v>
      </c>
      <c r="S366" s="256">
        <f t="shared" si="190"/>
        <v>102.05293234499999</v>
      </c>
      <c r="T366" s="256">
        <f t="shared" si="190"/>
        <v>100.5292134902046</v>
      </c>
      <c r="U366" s="256">
        <f t="shared" si="190"/>
        <v>107.15557896225002</v>
      </c>
      <c r="V366" s="256">
        <f t="shared" si="190"/>
        <v>105.55567416471484</v>
      </c>
      <c r="W366" s="256">
        <f t="shared" si="190"/>
        <v>112.51335791036249</v>
      </c>
      <c r="X366" s="256">
        <f t="shared" si="190"/>
        <v>110.83345787295059</v>
      </c>
      <c r="Y366" s="256">
        <f t="shared" si="190"/>
        <v>118.13902580588061</v>
      </c>
      <c r="Z366" s="256">
        <f t="shared" si="190"/>
        <v>116.37513076659812</v>
      </c>
      <c r="AA366" s="256">
        <f t="shared" si="190"/>
        <v>124.04597709617465</v>
      </c>
      <c r="AB366" s="256">
        <f t="shared" si="190"/>
        <v>122.19388730492804</v>
      </c>
      <c r="AC366" s="256">
        <f t="shared" si="190"/>
        <v>130.24827595098341</v>
      </c>
      <c r="AD366" s="256">
        <f t="shared" si="190"/>
        <v>128.30358167017445</v>
      </c>
      <c r="AE366" s="256">
        <f t="shared" si="190"/>
        <v>136.7606897485326</v>
      </c>
      <c r="AF366" s="256">
        <f t="shared" si="190"/>
        <v>134.71876075368314</v>
      </c>
      <c r="AG366" s="256">
        <f t="shared" si="190"/>
        <v>143.59872423595922</v>
      </c>
      <c r="AH366" s="256">
        <f t="shared" si="190"/>
        <v>141.45469879136738</v>
      </c>
      <c r="AI366" s="256">
        <f t="shared" si="190"/>
        <v>150.77866044775718</v>
      </c>
      <c r="AJ366" s="256">
        <f t="shared" si="190"/>
        <v>148.52743373093571</v>
      </c>
      <c r="AK366" s="256">
        <f t="shared" si="190"/>
        <v>158.31759347014506</v>
      </c>
      <c r="AL366" s="256">
        <f t="shared" si="190"/>
        <v>155.9538054174825</v>
      </c>
    </row>
    <row r="367" spans="1:38" outlineLevel="1" x14ac:dyDescent="0.2">
      <c r="B367" s="234" t="s">
        <v>164</v>
      </c>
      <c r="C367" s="205" t="s">
        <v>37</v>
      </c>
      <c r="E367" s="284"/>
      <c r="F367" s="284"/>
      <c r="G367" s="284">
        <f>G291</f>
        <v>0</v>
      </c>
      <c r="H367" s="284">
        <f>H291</f>
        <v>0</v>
      </c>
      <c r="I367" s="284">
        <f>I291</f>
        <v>0</v>
      </c>
      <c r="J367" s="284">
        <f>J291</f>
        <v>0</v>
      </c>
      <c r="K367" s="291">
        <f t="shared" ref="K367:AL367" si="191">K366*K368</f>
        <v>0</v>
      </c>
      <c r="L367" s="291">
        <f t="shared" si="191"/>
        <v>0</v>
      </c>
      <c r="M367" s="291">
        <f t="shared" si="191"/>
        <v>0</v>
      </c>
      <c r="N367" s="291">
        <f t="shared" si="191"/>
        <v>0</v>
      </c>
      <c r="O367" s="291">
        <f t="shared" si="191"/>
        <v>0</v>
      </c>
      <c r="P367" s="291">
        <f t="shared" si="191"/>
        <v>0</v>
      </c>
      <c r="Q367" s="291">
        <f t="shared" si="191"/>
        <v>0</v>
      </c>
      <c r="R367" s="291">
        <f t="shared" si="191"/>
        <v>0</v>
      </c>
      <c r="S367" s="291">
        <f t="shared" si="191"/>
        <v>0</v>
      </c>
      <c r="T367" s="291">
        <f t="shared" si="191"/>
        <v>0</v>
      </c>
      <c r="U367" s="291">
        <f t="shared" si="191"/>
        <v>0</v>
      </c>
      <c r="V367" s="291">
        <f t="shared" si="191"/>
        <v>0</v>
      </c>
      <c r="W367" s="291">
        <f t="shared" si="191"/>
        <v>0</v>
      </c>
      <c r="X367" s="291">
        <f t="shared" si="191"/>
        <v>0</v>
      </c>
      <c r="Y367" s="291">
        <f t="shared" si="191"/>
        <v>0</v>
      </c>
      <c r="Z367" s="291">
        <f t="shared" si="191"/>
        <v>0</v>
      </c>
      <c r="AA367" s="291">
        <f t="shared" si="191"/>
        <v>0</v>
      </c>
      <c r="AB367" s="291">
        <f t="shared" si="191"/>
        <v>0</v>
      </c>
      <c r="AC367" s="291">
        <f t="shared" si="191"/>
        <v>0</v>
      </c>
      <c r="AD367" s="291">
        <f t="shared" si="191"/>
        <v>0</v>
      </c>
      <c r="AE367" s="291">
        <f t="shared" si="191"/>
        <v>0</v>
      </c>
      <c r="AF367" s="291">
        <f t="shared" si="191"/>
        <v>0</v>
      </c>
      <c r="AG367" s="291">
        <f t="shared" si="191"/>
        <v>0</v>
      </c>
      <c r="AH367" s="291">
        <f t="shared" si="191"/>
        <v>0</v>
      </c>
      <c r="AI367" s="291">
        <f t="shared" si="191"/>
        <v>0</v>
      </c>
      <c r="AJ367" s="291">
        <f t="shared" si="191"/>
        <v>0</v>
      </c>
      <c r="AK367" s="291">
        <f t="shared" si="191"/>
        <v>0</v>
      </c>
      <c r="AL367" s="291">
        <f t="shared" si="191"/>
        <v>0</v>
      </c>
    </row>
    <row r="368" spans="1:38" outlineLevel="1" x14ac:dyDescent="0.2">
      <c r="B368" s="263" t="s">
        <v>134</v>
      </c>
      <c r="C368" s="205" t="s">
        <v>211</v>
      </c>
      <c r="E368" s="292"/>
      <c r="F368" s="292"/>
      <c r="G368" s="292">
        <f>G367/G366</f>
        <v>0</v>
      </c>
      <c r="H368" s="292">
        <f>H367/H366</f>
        <v>0</v>
      </c>
      <c r="I368" s="292">
        <f>I367/I366</f>
        <v>0</v>
      </c>
      <c r="J368" s="292">
        <f>J367/J366</f>
        <v>0</v>
      </c>
      <c r="K368" s="282">
        <f t="shared" ref="K368:AL368" si="192">J368</f>
        <v>0</v>
      </c>
      <c r="L368" s="282">
        <f t="shared" si="192"/>
        <v>0</v>
      </c>
      <c r="M368" s="282">
        <f t="shared" si="192"/>
        <v>0</v>
      </c>
      <c r="N368" s="282">
        <f t="shared" si="192"/>
        <v>0</v>
      </c>
      <c r="O368" s="282">
        <f t="shared" si="192"/>
        <v>0</v>
      </c>
      <c r="P368" s="282">
        <f t="shared" si="192"/>
        <v>0</v>
      </c>
      <c r="Q368" s="282">
        <f t="shared" si="192"/>
        <v>0</v>
      </c>
      <c r="R368" s="282">
        <f t="shared" si="192"/>
        <v>0</v>
      </c>
      <c r="S368" s="282">
        <f t="shared" si="192"/>
        <v>0</v>
      </c>
      <c r="T368" s="282">
        <f t="shared" si="192"/>
        <v>0</v>
      </c>
      <c r="U368" s="282">
        <f t="shared" si="192"/>
        <v>0</v>
      </c>
      <c r="V368" s="282">
        <f t="shared" si="192"/>
        <v>0</v>
      </c>
      <c r="W368" s="282">
        <f t="shared" si="192"/>
        <v>0</v>
      </c>
      <c r="X368" s="282">
        <f t="shared" si="192"/>
        <v>0</v>
      </c>
      <c r="Y368" s="282">
        <f t="shared" si="192"/>
        <v>0</v>
      </c>
      <c r="Z368" s="282">
        <f t="shared" si="192"/>
        <v>0</v>
      </c>
      <c r="AA368" s="282">
        <f t="shared" si="192"/>
        <v>0</v>
      </c>
      <c r="AB368" s="282">
        <f t="shared" si="192"/>
        <v>0</v>
      </c>
      <c r="AC368" s="282">
        <f t="shared" si="192"/>
        <v>0</v>
      </c>
      <c r="AD368" s="282">
        <f t="shared" si="192"/>
        <v>0</v>
      </c>
      <c r="AE368" s="282">
        <f t="shared" si="192"/>
        <v>0</v>
      </c>
      <c r="AF368" s="282">
        <f t="shared" si="192"/>
        <v>0</v>
      </c>
      <c r="AG368" s="282">
        <f t="shared" si="192"/>
        <v>0</v>
      </c>
      <c r="AH368" s="282">
        <f t="shared" si="192"/>
        <v>0</v>
      </c>
      <c r="AI368" s="282">
        <f t="shared" si="192"/>
        <v>0</v>
      </c>
      <c r="AJ368" s="282">
        <f t="shared" si="192"/>
        <v>0</v>
      </c>
      <c r="AK368" s="282">
        <f t="shared" si="192"/>
        <v>0</v>
      </c>
      <c r="AL368" s="282">
        <f t="shared" si="192"/>
        <v>0</v>
      </c>
    </row>
    <row r="369" spans="1:38" outlineLevel="1" x14ac:dyDescent="0.2">
      <c r="B369" s="263"/>
    </row>
    <row r="370" spans="1:38" outlineLevel="1" x14ac:dyDescent="0.2">
      <c r="B370" s="246" t="s">
        <v>213</v>
      </c>
    </row>
    <row r="371" spans="1:38" outlineLevel="1" x14ac:dyDescent="0.2">
      <c r="B371" s="234" t="s">
        <v>60</v>
      </c>
      <c r="C371" s="205" t="s">
        <v>37</v>
      </c>
      <c r="E371" s="256"/>
      <c r="F371" s="256"/>
      <c r="G371" s="256">
        <f t="shared" ref="G371:AL371" si="193">G$112</f>
        <v>63.6</v>
      </c>
      <c r="H371" s="256">
        <f t="shared" si="193"/>
        <v>71</v>
      </c>
      <c r="I371" s="256">
        <f t="shared" si="193"/>
        <v>68.900000000000006</v>
      </c>
      <c r="J371" s="256">
        <f t="shared" si="193"/>
        <v>76.5</v>
      </c>
      <c r="K371" s="256">
        <f t="shared" si="193"/>
        <v>83.959199999999996</v>
      </c>
      <c r="L371" s="256">
        <f t="shared" si="193"/>
        <v>82.705632727272757</v>
      </c>
      <c r="M371" s="256">
        <f t="shared" si="193"/>
        <v>88.15715999999999</v>
      </c>
      <c r="N371" s="256">
        <f t="shared" si="193"/>
        <v>86.840914363636386</v>
      </c>
      <c r="O371" s="256">
        <f t="shared" si="193"/>
        <v>92.565017999999995</v>
      </c>
      <c r="P371" s="256">
        <f t="shared" si="193"/>
        <v>91.182960081818209</v>
      </c>
      <c r="Q371" s="256">
        <f t="shared" si="193"/>
        <v>97.193268900000007</v>
      </c>
      <c r="R371" s="256">
        <f t="shared" si="193"/>
        <v>95.742108085909138</v>
      </c>
      <c r="S371" s="256">
        <f t="shared" si="193"/>
        <v>102.05293234499999</v>
      </c>
      <c r="T371" s="256">
        <f t="shared" si="193"/>
        <v>100.5292134902046</v>
      </c>
      <c r="U371" s="256">
        <f t="shared" si="193"/>
        <v>107.15557896225002</v>
      </c>
      <c r="V371" s="256">
        <f t="shared" si="193"/>
        <v>105.55567416471484</v>
      </c>
      <c r="W371" s="256">
        <f t="shared" si="193"/>
        <v>112.51335791036249</v>
      </c>
      <c r="X371" s="256">
        <f t="shared" si="193"/>
        <v>110.83345787295059</v>
      </c>
      <c r="Y371" s="256">
        <f t="shared" si="193"/>
        <v>118.13902580588061</v>
      </c>
      <c r="Z371" s="256">
        <f t="shared" si="193"/>
        <v>116.37513076659812</v>
      </c>
      <c r="AA371" s="256">
        <f t="shared" si="193"/>
        <v>124.04597709617465</v>
      </c>
      <c r="AB371" s="256">
        <f t="shared" si="193"/>
        <v>122.19388730492804</v>
      </c>
      <c r="AC371" s="256">
        <f t="shared" si="193"/>
        <v>130.24827595098341</v>
      </c>
      <c r="AD371" s="256">
        <f t="shared" si="193"/>
        <v>128.30358167017445</v>
      </c>
      <c r="AE371" s="256">
        <f t="shared" si="193"/>
        <v>136.7606897485326</v>
      </c>
      <c r="AF371" s="256">
        <f t="shared" si="193"/>
        <v>134.71876075368314</v>
      </c>
      <c r="AG371" s="256">
        <f t="shared" si="193"/>
        <v>143.59872423595922</v>
      </c>
      <c r="AH371" s="256">
        <f t="shared" si="193"/>
        <v>141.45469879136738</v>
      </c>
      <c r="AI371" s="256">
        <f t="shared" si="193"/>
        <v>150.77866044775718</v>
      </c>
      <c r="AJ371" s="256">
        <f t="shared" si="193"/>
        <v>148.52743373093571</v>
      </c>
      <c r="AK371" s="256">
        <f t="shared" si="193"/>
        <v>158.31759347014506</v>
      </c>
      <c r="AL371" s="256">
        <f t="shared" si="193"/>
        <v>155.9538054174825</v>
      </c>
    </row>
    <row r="372" spans="1:38" outlineLevel="1" x14ac:dyDescent="0.2">
      <c r="B372" s="234" t="s">
        <v>214</v>
      </c>
      <c r="C372" s="205" t="s">
        <v>37</v>
      </c>
      <c r="E372" s="284"/>
      <c r="F372" s="284"/>
      <c r="G372" s="284">
        <f>G307</f>
        <v>17.2</v>
      </c>
      <c r="H372" s="284">
        <f>H307</f>
        <v>20.399999999999999</v>
      </c>
      <c r="I372" s="284">
        <f>I307</f>
        <v>27.1</v>
      </c>
      <c r="J372" s="284">
        <f>J307</f>
        <v>25.4</v>
      </c>
      <c r="K372" s="291">
        <f t="shared" ref="K372:AL372" si="194">K371*K373</f>
        <v>27.876649411764703</v>
      </c>
      <c r="L372" s="291">
        <f t="shared" si="194"/>
        <v>27.460432304218667</v>
      </c>
      <c r="M372" s="291">
        <f t="shared" si="194"/>
        <v>29.270481882352936</v>
      </c>
      <c r="N372" s="291">
        <f t="shared" si="194"/>
        <v>28.833453919429598</v>
      </c>
      <c r="O372" s="291">
        <f t="shared" si="194"/>
        <v>30.734005976470584</v>
      </c>
      <c r="P372" s="291">
        <f t="shared" si="194"/>
        <v>30.275126615401078</v>
      </c>
      <c r="Q372" s="291">
        <f t="shared" si="194"/>
        <v>32.270706275294117</v>
      </c>
      <c r="R372" s="291">
        <f t="shared" si="194"/>
        <v>31.788882946171139</v>
      </c>
      <c r="S372" s="291">
        <f t="shared" si="194"/>
        <v>33.884241589058817</v>
      </c>
      <c r="T372" s="291">
        <f t="shared" si="194"/>
        <v>33.378327093479697</v>
      </c>
      <c r="U372" s="291">
        <f t="shared" si="194"/>
        <v>35.57845366851177</v>
      </c>
      <c r="V372" s="291">
        <f t="shared" si="194"/>
        <v>35.047243448153687</v>
      </c>
      <c r="W372" s="291">
        <f t="shared" si="194"/>
        <v>37.357376351937347</v>
      </c>
      <c r="X372" s="291">
        <f t="shared" si="194"/>
        <v>36.799605620561373</v>
      </c>
      <c r="Y372" s="291">
        <f t="shared" si="194"/>
        <v>39.225245169534212</v>
      </c>
      <c r="Z372" s="291">
        <f t="shared" si="194"/>
        <v>38.639585901589442</v>
      </c>
      <c r="AA372" s="291">
        <f t="shared" si="194"/>
        <v>41.186507428010927</v>
      </c>
      <c r="AB372" s="291">
        <f t="shared" si="194"/>
        <v>40.571565196668914</v>
      </c>
      <c r="AC372" s="291">
        <f t="shared" si="194"/>
        <v>43.245832799411481</v>
      </c>
      <c r="AD372" s="291">
        <f t="shared" si="194"/>
        <v>42.600143456502366</v>
      </c>
      <c r="AE372" s="291">
        <f t="shared" si="194"/>
        <v>45.408124439382064</v>
      </c>
      <c r="AF372" s="291">
        <f t="shared" si="194"/>
        <v>44.730150629327476</v>
      </c>
      <c r="AG372" s="291">
        <f t="shared" si="194"/>
        <v>47.678530661351168</v>
      </c>
      <c r="AH372" s="291">
        <f t="shared" si="194"/>
        <v>46.96665816079387</v>
      </c>
      <c r="AI372" s="291">
        <f t="shared" si="194"/>
        <v>50.06245719441872</v>
      </c>
      <c r="AJ372" s="291">
        <f t="shared" si="194"/>
        <v>49.314991068833557</v>
      </c>
      <c r="AK372" s="291">
        <f t="shared" si="194"/>
        <v>52.565580054139666</v>
      </c>
      <c r="AL372" s="291">
        <f t="shared" si="194"/>
        <v>51.780740622275232</v>
      </c>
    </row>
    <row r="373" spans="1:38" outlineLevel="1" x14ac:dyDescent="0.2">
      <c r="B373" s="263" t="s">
        <v>134</v>
      </c>
      <c r="C373" s="205" t="s">
        <v>211</v>
      </c>
      <c r="E373" s="292"/>
      <c r="F373" s="292"/>
      <c r="G373" s="292">
        <f>G372/G371</f>
        <v>0.27044025157232704</v>
      </c>
      <c r="H373" s="292">
        <f>H372/H371</f>
        <v>0.28732394366197184</v>
      </c>
      <c r="I373" s="292">
        <f>I372/I371</f>
        <v>0.39332365747460085</v>
      </c>
      <c r="J373" s="292">
        <f>J372/J371</f>
        <v>0.33202614379084966</v>
      </c>
      <c r="K373" s="282">
        <f t="shared" ref="K373:AL373" si="195">J373</f>
        <v>0.33202614379084966</v>
      </c>
      <c r="L373" s="282">
        <f t="shared" si="195"/>
        <v>0.33202614379084966</v>
      </c>
      <c r="M373" s="282">
        <f t="shared" si="195"/>
        <v>0.33202614379084966</v>
      </c>
      <c r="N373" s="282">
        <f t="shared" si="195"/>
        <v>0.33202614379084966</v>
      </c>
      <c r="O373" s="282">
        <f t="shared" si="195"/>
        <v>0.33202614379084966</v>
      </c>
      <c r="P373" s="282">
        <f t="shared" si="195"/>
        <v>0.33202614379084966</v>
      </c>
      <c r="Q373" s="282">
        <f t="shared" si="195"/>
        <v>0.33202614379084966</v>
      </c>
      <c r="R373" s="282">
        <f t="shared" si="195"/>
        <v>0.33202614379084966</v>
      </c>
      <c r="S373" s="282">
        <f t="shared" si="195"/>
        <v>0.33202614379084966</v>
      </c>
      <c r="T373" s="282">
        <f t="shared" si="195"/>
        <v>0.33202614379084966</v>
      </c>
      <c r="U373" s="282">
        <f t="shared" si="195"/>
        <v>0.33202614379084966</v>
      </c>
      <c r="V373" s="282">
        <f t="shared" si="195"/>
        <v>0.33202614379084966</v>
      </c>
      <c r="W373" s="282">
        <f t="shared" si="195"/>
        <v>0.33202614379084966</v>
      </c>
      <c r="X373" s="282">
        <f t="shared" si="195"/>
        <v>0.33202614379084966</v>
      </c>
      <c r="Y373" s="282">
        <f t="shared" si="195"/>
        <v>0.33202614379084966</v>
      </c>
      <c r="Z373" s="282">
        <f t="shared" si="195"/>
        <v>0.33202614379084966</v>
      </c>
      <c r="AA373" s="282">
        <f t="shared" si="195"/>
        <v>0.33202614379084966</v>
      </c>
      <c r="AB373" s="282">
        <f t="shared" si="195"/>
        <v>0.33202614379084966</v>
      </c>
      <c r="AC373" s="282">
        <f t="shared" si="195"/>
        <v>0.33202614379084966</v>
      </c>
      <c r="AD373" s="282">
        <f t="shared" si="195"/>
        <v>0.33202614379084966</v>
      </c>
      <c r="AE373" s="282">
        <f t="shared" si="195"/>
        <v>0.33202614379084966</v>
      </c>
      <c r="AF373" s="282">
        <f t="shared" si="195"/>
        <v>0.33202614379084966</v>
      </c>
      <c r="AG373" s="282">
        <f t="shared" si="195"/>
        <v>0.33202614379084966</v>
      </c>
      <c r="AH373" s="282">
        <f t="shared" si="195"/>
        <v>0.33202614379084966</v>
      </c>
      <c r="AI373" s="282">
        <f t="shared" si="195"/>
        <v>0.33202614379084966</v>
      </c>
      <c r="AJ373" s="282">
        <f t="shared" si="195"/>
        <v>0.33202614379084966</v>
      </c>
      <c r="AK373" s="282">
        <f t="shared" si="195"/>
        <v>0.33202614379084966</v>
      </c>
      <c r="AL373" s="282">
        <f t="shared" si="195"/>
        <v>0.33202614379084966</v>
      </c>
    </row>
    <row r="374" spans="1:38" outlineLevel="1" x14ac:dyDescent="0.2">
      <c r="B374" s="263"/>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row>
    <row r="375" spans="1:38" outlineLevel="1" x14ac:dyDescent="0.2">
      <c r="B375" s="246" t="s">
        <v>215</v>
      </c>
    </row>
    <row r="376" spans="1:38" outlineLevel="1" x14ac:dyDescent="0.2">
      <c r="B376" s="234" t="s">
        <v>216</v>
      </c>
      <c r="C376" s="205" t="s">
        <v>37</v>
      </c>
      <c r="E376" s="256"/>
      <c r="F376" s="256"/>
      <c r="G376" s="256">
        <f t="shared" ref="G376:AL376" si="196">G362+G367-G372</f>
        <v>-15.1</v>
      </c>
      <c r="H376" s="256">
        <f t="shared" si="196"/>
        <v>-19.099999999999998</v>
      </c>
      <c r="I376" s="256">
        <f t="shared" si="196"/>
        <v>-25.6</v>
      </c>
      <c r="J376" s="256">
        <f t="shared" ref="J376" si="197">J362+J367-J372</f>
        <v>-24.299999999999997</v>
      </c>
      <c r="K376" s="256">
        <f t="shared" si="196"/>
        <v>-26.669392941176469</v>
      </c>
      <c r="L376" s="256">
        <f t="shared" si="196"/>
        <v>-26.271200983957229</v>
      </c>
      <c r="M376" s="256">
        <f t="shared" si="196"/>
        <v>-28.002862588235288</v>
      </c>
      <c r="N376" s="256">
        <f t="shared" si="196"/>
        <v>-27.584761033155086</v>
      </c>
      <c r="O376" s="256">
        <f t="shared" si="196"/>
        <v>-29.403005717647055</v>
      </c>
      <c r="P376" s="256">
        <f t="shared" si="196"/>
        <v>-28.963999084812841</v>
      </c>
      <c r="Q376" s="256">
        <f t="shared" si="196"/>
        <v>-30.873156003529409</v>
      </c>
      <c r="R376" s="256">
        <f t="shared" si="196"/>
        <v>-30.41219903905349</v>
      </c>
      <c r="S376" s="256">
        <f t="shared" si="196"/>
        <v>-32.416813803705878</v>
      </c>
      <c r="T376" s="256">
        <f t="shared" si="196"/>
        <v>-31.932808991006166</v>
      </c>
      <c r="U376" s="256">
        <f t="shared" si="196"/>
        <v>-34.037654493891182</v>
      </c>
      <c r="V376" s="256">
        <f t="shared" si="196"/>
        <v>-33.529449440556476</v>
      </c>
      <c r="W376" s="256">
        <f t="shared" si="196"/>
        <v>-35.739537218585731</v>
      </c>
      <c r="X376" s="256">
        <f t="shared" si="196"/>
        <v>-35.205921912584309</v>
      </c>
      <c r="Y376" s="256">
        <f t="shared" si="196"/>
        <v>-37.52651407951501</v>
      </c>
      <c r="Z376" s="256">
        <f t="shared" si="196"/>
        <v>-36.966218008213524</v>
      </c>
      <c r="AA376" s="256">
        <f t="shared" si="196"/>
        <v>-39.402839783490769</v>
      </c>
      <c r="AB376" s="256">
        <f t="shared" si="196"/>
        <v>-38.814528908624197</v>
      </c>
      <c r="AC376" s="256">
        <f t="shared" si="196"/>
        <v>-41.372981772665312</v>
      </c>
      <c r="AD376" s="256">
        <f t="shared" si="196"/>
        <v>-40.755255354055414</v>
      </c>
      <c r="AE376" s="256">
        <f t="shared" si="196"/>
        <v>-43.441630861298592</v>
      </c>
      <c r="AF376" s="256">
        <f t="shared" si="196"/>
        <v>-42.793018121758173</v>
      </c>
      <c r="AG376" s="256">
        <f t="shared" si="196"/>
        <v>-45.613712404363518</v>
      </c>
      <c r="AH376" s="256">
        <f t="shared" si="196"/>
        <v>-44.932669027846103</v>
      </c>
      <c r="AI376" s="256">
        <f t="shared" si="196"/>
        <v>-47.89439802458169</v>
      </c>
      <c r="AJ376" s="256">
        <f t="shared" si="196"/>
        <v>-47.179302479238402</v>
      </c>
      <c r="AK376" s="256">
        <f t="shared" si="196"/>
        <v>-50.289117925810785</v>
      </c>
      <c r="AL376" s="256">
        <f t="shared" si="196"/>
        <v>-49.538267603200318</v>
      </c>
    </row>
    <row r="377" spans="1:38" outlineLevel="1" x14ac:dyDescent="0.2">
      <c r="B377" s="234" t="s">
        <v>217</v>
      </c>
      <c r="C377" s="205" t="s">
        <v>37</v>
      </c>
      <c r="E377" s="256"/>
      <c r="F377" s="256"/>
      <c r="G377" s="256"/>
      <c r="H377" s="256">
        <f t="shared" ref="H377:AL377" si="198">G376-H376</f>
        <v>3.9999999999999982</v>
      </c>
      <c r="I377" s="256">
        <f t="shared" si="198"/>
        <v>6.5000000000000036</v>
      </c>
      <c r="J377" s="256">
        <f t="shared" si="198"/>
        <v>-1.3000000000000043</v>
      </c>
      <c r="K377" s="256">
        <f t="shared" si="198"/>
        <v>2.3693929411764714</v>
      </c>
      <c r="L377" s="256">
        <f t="shared" si="198"/>
        <v>-0.39819195721923961</v>
      </c>
      <c r="M377" s="256">
        <f t="shared" si="198"/>
        <v>1.7316616042780595</v>
      </c>
      <c r="N377" s="256">
        <f t="shared" si="198"/>
        <v>-0.4181015550802023</v>
      </c>
      <c r="O377" s="256">
        <f t="shared" si="198"/>
        <v>1.8182446844919689</v>
      </c>
      <c r="P377" s="256">
        <f t="shared" si="198"/>
        <v>-0.43900663283421437</v>
      </c>
      <c r="Q377" s="256">
        <f t="shared" si="198"/>
        <v>1.9091569187165689</v>
      </c>
      <c r="R377" s="256">
        <f t="shared" si="198"/>
        <v>-0.46095696447591905</v>
      </c>
      <c r="S377" s="256">
        <f t="shared" si="198"/>
        <v>2.0046147646523877</v>
      </c>
      <c r="T377" s="256">
        <f t="shared" si="198"/>
        <v>-0.48400481269971252</v>
      </c>
      <c r="U377" s="256">
        <f t="shared" si="198"/>
        <v>2.1048455028850164</v>
      </c>
      <c r="V377" s="256">
        <f t="shared" si="198"/>
        <v>-0.50820505333470578</v>
      </c>
      <c r="W377" s="256">
        <f t="shared" si="198"/>
        <v>2.2100877780292549</v>
      </c>
      <c r="X377" s="256">
        <f t="shared" si="198"/>
        <v>-0.5336153060014226</v>
      </c>
      <c r="Y377" s="256">
        <f t="shared" si="198"/>
        <v>2.3205921669307017</v>
      </c>
      <c r="Z377" s="256">
        <f t="shared" si="198"/>
        <v>-0.56029607130148662</v>
      </c>
      <c r="AA377" s="256">
        <f t="shared" si="198"/>
        <v>2.4366217752772457</v>
      </c>
      <c r="AB377" s="256">
        <f t="shared" si="198"/>
        <v>-0.58831087486657196</v>
      </c>
      <c r="AC377" s="256">
        <f t="shared" si="198"/>
        <v>2.558452864041115</v>
      </c>
      <c r="AD377" s="256">
        <f t="shared" si="198"/>
        <v>-0.61772641860989808</v>
      </c>
      <c r="AE377" s="256">
        <f t="shared" si="198"/>
        <v>2.6863755072431772</v>
      </c>
      <c r="AF377" s="256">
        <f t="shared" si="198"/>
        <v>-0.6486127395404182</v>
      </c>
      <c r="AG377" s="256">
        <f t="shared" si="198"/>
        <v>2.8206942826053449</v>
      </c>
      <c r="AH377" s="256">
        <f t="shared" si="198"/>
        <v>-0.68104337651741531</v>
      </c>
      <c r="AI377" s="256">
        <f t="shared" si="198"/>
        <v>2.9617289967355873</v>
      </c>
      <c r="AJ377" s="256">
        <f t="shared" si="198"/>
        <v>-0.71509554534328856</v>
      </c>
      <c r="AK377" s="256">
        <f t="shared" si="198"/>
        <v>3.1098154465723837</v>
      </c>
      <c r="AL377" s="256">
        <f t="shared" si="198"/>
        <v>-0.75085032261046791</v>
      </c>
    </row>
    <row r="378" spans="1:38" s="196" customFormat="1" outlineLevel="1" x14ac:dyDescent="0.2">
      <c r="B378" s="268" t="s">
        <v>218</v>
      </c>
      <c r="C378" s="274" t="s">
        <v>37</v>
      </c>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c r="AA378" s="269"/>
      <c r="AB378" s="269"/>
      <c r="AC378" s="269"/>
      <c r="AD378" s="269"/>
      <c r="AE378" s="269"/>
      <c r="AF378" s="269"/>
      <c r="AG378" s="269"/>
      <c r="AH378" s="269"/>
      <c r="AI378" s="269"/>
      <c r="AJ378" s="269"/>
      <c r="AK378" s="269"/>
      <c r="AL378" s="269"/>
    </row>
    <row r="379" spans="1:38" s="196" customFormat="1" outlineLevel="1" x14ac:dyDescent="0.2">
      <c r="B379" s="268"/>
      <c r="C379" s="274"/>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c r="AA379" s="269"/>
      <c r="AB379" s="269"/>
      <c r="AC379" s="269"/>
      <c r="AD379" s="269"/>
      <c r="AE379" s="269"/>
      <c r="AF379" s="269"/>
      <c r="AG379" s="269"/>
      <c r="AH379" s="269"/>
      <c r="AI379" s="269"/>
      <c r="AJ379" s="269"/>
      <c r="AK379" s="269"/>
      <c r="AL379" s="269"/>
    </row>
    <row r="380" spans="1:38" x14ac:dyDescent="0.2">
      <c r="D380" s="294"/>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c r="AA380" s="249"/>
      <c r="AB380" s="249"/>
      <c r="AC380" s="249"/>
      <c r="AD380" s="249"/>
      <c r="AE380" s="249"/>
      <c r="AF380" s="249"/>
      <c r="AG380" s="249"/>
      <c r="AH380" s="249"/>
      <c r="AI380" s="249"/>
      <c r="AJ380" s="249"/>
      <c r="AK380" s="249"/>
      <c r="AL380" s="249"/>
    </row>
    <row r="381" spans="1:38" s="222" customFormat="1" x14ac:dyDescent="0.2">
      <c r="A381" s="222" t="s">
        <v>7</v>
      </c>
      <c r="B381" s="276" t="s">
        <v>219</v>
      </c>
      <c r="C381" s="277"/>
      <c r="E381" s="278"/>
      <c r="F381" s="278"/>
      <c r="G381" s="278"/>
      <c r="H381" s="278"/>
      <c r="I381" s="278"/>
      <c r="J381" s="278"/>
      <c r="K381" s="278"/>
      <c r="L381" s="278"/>
      <c r="M381" s="278"/>
      <c r="N381" s="278"/>
      <c r="O381" s="278"/>
      <c r="P381" s="278"/>
      <c r="Q381" s="278"/>
      <c r="R381" s="278"/>
      <c r="S381" s="278"/>
      <c r="T381" s="278"/>
      <c r="U381" s="278"/>
      <c r="V381" s="278"/>
      <c r="W381" s="278"/>
      <c r="X381" s="278"/>
      <c r="Y381" s="278"/>
      <c r="Z381" s="278"/>
      <c r="AA381" s="278"/>
      <c r="AB381" s="278"/>
      <c r="AC381" s="278"/>
      <c r="AD381" s="278"/>
      <c r="AE381" s="278"/>
      <c r="AF381" s="278"/>
      <c r="AG381" s="278"/>
      <c r="AH381" s="278"/>
      <c r="AI381" s="278"/>
      <c r="AJ381" s="278"/>
      <c r="AK381" s="278"/>
      <c r="AL381" s="278"/>
    </row>
    <row r="382" spans="1:38" ht="11.25" customHeight="1" outlineLevel="1" x14ac:dyDescent="0.2"/>
    <row r="383" spans="1:38" outlineLevel="1" x14ac:dyDescent="0.2">
      <c r="B383" s="246" t="s">
        <v>220</v>
      </c>
      <c r="D383" s="294"/>
    </row>
    <row r="384" spans="1:38" outlineLevel="1" x14ac:dyDescent="0.2">
      <c r="B384" s="293" t="s">
        <v>221</v>
      </c>
      <c r="D384" s="294"/>
    </row>
    <row r="385" spans="2:38" outlineLevel="1" x14ac:dyDescent="0.2">
      <c r="B385" s="295" t="s">
        <v>222</v>
      </c>
      <c r="C385" s="205" t="s">
        <v>37</v>
      </c>
      <c r="D385" s="294"/>
      <c r="E385" s="232"/>
      <c r="F385" s="232"/>
      <c r="G385" s="232">
        <f t="shared" ref="G385:AL385" si="199">G279</f>
        <v>24.5</v>
      </c>
      <c r="H385" s="232">
        <f t="shared" si="199"/>
        <v>16</v>
      </c>
      <c r="I385" s="232">
        <f t="shared" si="199"/>
        <v>104.9</v>
      </c>
      <c r="J385" s="232">
        <f t="shared" ref="J385" si="200">J279</f>
        <v>40.799999999999997</v>
      </c>
      <c r="K385" s="232">
        <f t="shared" si="199"/>
        <v>27.6</v>
      </c>
      <c r="L385" s="232">
        <f t="shared" si="199"/>
        <v>26.892555806497558</v>
      </c>
      <c r="M385" s="232">
        <f t="shared" si="199"/>
        <v>29.338569229590878</v>
      </c>
      <c r="N385" s="232">
        <f t="shared" si="199"/>
        <v>31.939783849415459</v>
      </c>
      <c r="O385" s="232">
        <f t="shared" si="199"/>
        <v>35.835070516634943</v>
      </c>
      <c r="P385" s="232">
        <f t="shared" si="199"/>
        <v>40.032624768013811</v>
      </c>
      <c r="Q385" s="232">
        <f t="shared" si="199"/>
        <v>45.075051409491252</v>
      </c>
      <c r="R385" s="232">
        <f t="shared" si="199"/>
        <v>51.174293313388176</v>
      </c>
      <c r="S385" s="232">
        <f t="shared" si="199"/>
        <v>57.029758684486303</v>
      </c>
      <c r="T385" s="232">
        <f t="shared" si="199"/>
        <v>63.893465743987569</v>
      </c>
      <c r="U385" s="232">
        <f t="shared" si="199"/>
        <v>70.504095236106579</v>
      </c>
      <c r="V385" s="232">
        <f t="shared" si="199"/>
        <v>77.798861657977525</v>
      </c>
      <c r="W385" s="232">
        <f t="shared" si="199"/>
        <v>84.828307149279439</v>
      </c>
      <c r="X385" s="232">
        <f t="shared" si="199"/>
        <v>92.588693032276993</v>
      </c>
      <c r="Y385" s="232">
        <f t="shared" si="199"/>
        <v>100.07804561677837</v>
      </c>
      <c r="Z385" s="232">
        <f t="shared" si="199"/>
        <v>108.33818713012715</v>
      </c>
      <c r="AA385" s="232">
        <f t="shared" si="199"/>
        <v>116.31607461411772</v>
      </c>
      <c r="AB385" s="232">
        <f t="shared" si="199"/>
        <v>125.11003662074853</v>
      </c>
      <c r="AC385" s="232">
        <f t="shared" si="199"/>
        <v>133.60920232199746</v>
      </c>
      <c r="AD385" s="232">
        <f t="shared" si="199"/>
        <v>142.97137166968815</v>
      </c>
      <c r="AE385" s="232">
        <f t="shared" si="199"/>
        <v>152.02340019042907</v>
      </c>
      <c r="AF385" s="232">
        <f t="shared" si="199"/>
        <v>161.98878255319909</v>
      </c>
      <c r="AG385" s="232">
        <f t="shared" si="199"/>
        <v>171.63063761402185</v>
      </c>
      <c r="AH385" s="232">
        <f t="shared" si="199"/>
        <v>182.23515396331729</v>
      </c>
      <c r="AI385" s="232">
        <f t="shared" si="199"/>
        <v>192.50005066612897</v>
      </c>
      <c r="AJ385" s="232">
        <f t="shared" si="199"/>
        <v>203.78073348367246</v>
      </c>
      <c r="AK385" s="232">
        <f t="shared" si="199"/>
        <v>214.70458484366776</v>
      </c>
      <c r="AL385" s="232">
        <f t="shared" si="199"/>
        <v>226.69979179878885</v>
      </c>
    </row>
    <row r="386" spans="2:38" outlineLevel="1" x14ac:dyDescent="0.2">
      <c r="B386" s="295" t="s">
        <v>223</v>
      </c>
      <c r="C386" s="205" t="s">
        <v>37</v>
      </c>
      <c r="D386" s="294"/>
      <c r="E386" s="250"/>
      <c r="F386" s="250"/>
      <c r="G386" s="250">
        <v>5</v>
      </c>
      <c r="H386" s="250">
        <v>5</v>
      </c>
      <c r="I386" s="250">
        <v>5</v>
      </c>
      <c r="J386" s="250">
        <v>5</v>
      </c>
      <c r="K386" s="250">
        <v>5</v>
      </c>
      <c r="L386" s="250">
        <v>5</v>
      </c>
      <c r="M386" s="250">
        <v>5</v>
      </c>
      <c r="N386" s="250">
        <v>5</v>
      </c>
      <c r="O386" s="250">
        <v>5</v>
      </c>
      <c r="P386" s="250">
        <v>5</v>
      </c>
      <c r="Q386" s="250">
        <v>5</v>
      </c>
      <c r="R386" s="250">
        <v>5</v>
      </c>
      <c r="S386" s="250">
        <v>5</v>
      </c>
      <c r="T386" s="250">
        <v>5</v>
      </c>
      <c r="U386" s="250">
        <v>5</v>
      </c>
      <c r="V386" s="250">
        <v>5</v>
      </c>
      <c r="W386" s="250">
        <v>5</v>
      </c>
      <c r="X386" s="250">
        <v>5</v>
      </c>
      <c r="Y386" s="250">
        <v>5</v>
      </c>
      <c r="Z386" s="250">
        <v>5</v>
      </c>
      <c r="AA386" s="250">
        <v>5</v>
      </c>
      <c r="AB386" s="250">
        <v>5</v>
      </c>
      <c r="AC386" s="250">
        <v>5</v>
      </c>
      <c r="AD386" s="250">
        <v>5</v>
      </c>
      <c r="AE386" s="250">
        <v>5</v>
      </c>
      <c r="AF386" s="250">
        <v>5</v>
      </c>
      <c r="AG386" s="250">
        <v>5</v>
      </c>
      <c r="AH386" s="250">
        <v>5</v>
      </c>
      <c r="AI386" s="250">
        <v>5</v>
      </c>
      <c r="AJ386" s="250">
        <v>5</v>
      </c>
      <c r="AK386" s="250">
        <v>5</v>
      </c>
      <c r="AL386" s="250">
        <v>5</v>
      </c>
    </row>
    <row r="387" spans="2:38" outlineLevel="1" x14ac:dyDescent="0.2">
      <c r="B387" s="295" t="s">
        <v>224</v>
      </c>
      <c r="C387" s="205" t="s">
        <v>37</v>
      </c>
      <c r="D387" s="294"/>
      <c r="E387" s="232"/>
      <c r="F387" s="232"/>
      <c r="G387" s="232">
        <f t="shared" ref="G387:AL387" si="201">G255+G265+SUM(G269:G275)</f>
        <v>-8.7999999999999989</v>
      </c>
      <c r="H387" s="232">
        <f t="shared" si="201"/>
        <v>89.4</v>
      </c>
      <c r="I387" s="232">
        <f t="shared" si="201"/>
        <v>-64.100000000000009</v>
      </c>
      <c r="J387" s="232">
        <f t="shared" ref="J387" si="202">J255+J265+SUM(J269:J275)</f>
        <v>-13.199999999999992</v>
      </c>
      <c r="K387" s="232">
        <f t="shared" si="201"/>
        <v>-0.70744419350244225</v>
      </c>
      <c r="L387" s="232">
        <f t="shared" si="201"/>
        <v>2.4460134230933201</v>
      </c>
      <c r="M387" s="232">
        <f t="shared" si="201"/>
        <v>2.6012146198245807</v>
      </c>
      <c r="N387" s="232">
        <f t="shared" si="201"/>
        <v>3.895286667219481</v>
      </c>
      <c r="O387" s="232">
        <f t="shared" si="201"/>
        <v>4.1975542513788699</v>
      </c>
      <c r="P387" s="232">
        <f t="shared" si="201"/>
        <v>5.0424266414774443</v>
      </c>
      <c r="Q387" s="232">
        <f t="shared" si="201"/>
        <v>6.0992419038969281</v>
      </c>
      <c r="R387" s="232">
        <f t="shared" si="201"/>
        <v>5.8554653710981279</v>
      </c>
      <c r="S387" s="232">
        <f t="shared" si="201"/>
        <v>6.8637070595012668</v>
      </c>
      <c r="T387" s="232">
        <f t="shared" si="201"/>
        <v>6.6106294921190054</v>
      </c>
      <c r="U387" s="232">
        <f t="shared" si="201"/>
        <v>7.2947664218709418</v>
      </c>
      <c r="V387" s="232">
        <f t="shared" si="201"/>
        <v>7.0294454913019075</v>
      </c>
      <c r="W387" s="232">
        <f t="shared" si="201"/>
        <v>7.760385882997558</v>
      </c>
      <c r="X387" s="232">
        <f t="shared" si="201"/>
        <v>7.4893525845013746</v>
      </c>
      <c r="Y387" s="232">
        <f t="shared" si="201"/>
        <v>8.2601415133487812</v>
      </c>
      <c r="Z387" s="232">
        <f t="shared" si="201"/>
        <v>7.9778874839905667</v>
      </c>
      <c r="AA387" s="232">
        <f t="shared" si="201"/>
        <v>8.7939620066307995</v>
      </c>
      <c r="AB387" s="232">
        <f t="shared" si="201"/>
        <v>8.4991657012489217</v>
      </c>
      <c r="AC387" s="232">
        <f t="shared" si="201"/>
        <v>9.3621693476907062</v>
      </c>
      <c r="AD387" s="232">
        <f t="shared" si="201"/>
        <v>9.0520285207409152</v>
      </c>
      <c r="AE387" s="232">
        <f t="shared" si="201"/>
        <v>9.9653823627700095</v>
      </c>
      <c r="AF387" s="232">
        <f t="shared" si="201"/>
        <v>9.6418550608227527</v>
      </c>
      <c r="AG387" s="232">
        <f t="shared" si="201"/>
        <v>10.60451634929545</v>
      </c>
      <c r="AH387" s="232">
        <f t="shared" si="201"/>
        <v>10.264896702811692</v>
      </c>
      <c r="AI387" s="232">
        <f t="shared" si="201"/>
        <v>11.280682817543507</v>
      </c>
      <c r="AJ387" s="232">
        <f t="shared" si="201"/>
        <v>10.923851359995286</v>
      </c>
      <c r="AK387" s="232">
        <f t="shared" si="201"/>
        <v>11.995206955121088</v>
      </c>
      <c r="AL387" s="232">
        <f t="shared" si="201"/>
        <v>11.621693275974478</v>
      </c>
    </row>
    <row r="388" spans="2:38" outlineLevel="1" x14ac:dyDescent="0.2">
      <c r="B388" s="263" t="s">
        <v>225</v>
      </c>
      <c r="C388" s="205" t="s">
        <v>37</v>
      </c>
      <c r="D388" s="294"/>
      <c r="E388" s="232"/>
      <c r="F388" s="232"/>
      <c r="G388" s="232">
        <f t="shared" ref="G388:AL388" si="203">G385-G386+G387</f>
        <v>10.700000000000001</v>
      </c>
      <c r="H388" s="232">
        <f t="shared" si="203"/>
        <v>100.4</v>
      </c>
      <c r="I388" s="232">
        <f t="shared" si="203"/>
        <v>35.799999999999997</v>
      </c>
      <c r="J388" s="232">
        <f t="shared" ref="J388" si="204">J385-J386+J387</f>
        <v>22.600000000000005</v>
      </c>
      <c r="K388" s="232">
        <f t="shared" si="203"/>
        <v>21.892555806497558</v>
      </c>
      <c r="L388" s="232">
        <f t="shared" si="203"/>
        <v>24.338569229590878</v>
      </c>
      <c r="M388" s="232">
        <f t="shared" si="203"/>
        <v>26.939783849415459</v>
      </c>
      <c r="N388" s="232">
        <f t="shared" si="203"/>
        <v>30.835070516634939</v>
      </c>
      <c r="O388" s="232">
        <f t="shared" si="203"/>
        <v>35.032624768013811</v>
      </c>
      <c r="P388" s="232">
        <f t="shared" si="203"/>
        <v>40.075051409491252</v>
      </c>
      <c r="Q388" s="232">
        <f t="shared" si="203"/>
        <v>46.174293313388176</v>
      </c>
      <c r="R388" s="232">
        <f t="shared" si="203"/>
        <v>52.029758684486303</v>
      </c>
      <c r="S388" s="232">
        <f t="shared" si="203"/>
        <v>58.893465743987569</v>
      </c>
      <c r="T388" s="232">
        <f t="shared" si="203"/>
        <v>65.504095236106579</v>
      </c>
      <c r="U388" s="232">
        <f t="shared" si="203"/>
        <v>72.798861657977525</v>
      </c>
      <c r="V388" s="232">
        <f t="shared" si="203"/>
        <v>79.828307149279439</v>
      </c>
      <c r="W388" s="232">
        <f t="shared" si="203"/>
        <v>87.588693032276993</v>
      </c>
      <c r="X388" s="232">
        <f t="shared" si="203"/>
        <v>95.078045616778368</v>
      </c>
      <c r="Y388" s="232">
        <f t="shared" si="203"/>
        <v>103.33818713012715</v>
      </c>
      <c r="Z388" s="232">
        <f t="shared" si="203"/>
        <v>111.31607461411772</v>
      </c>
      <c r="AA388" s="232">
        <f t="shared" si="203"/>
        <v>120.11003662074853</v>
      </c>
      <c r="AB388" s="232">
        <f t="shared" si="203"/>
        <v>128.60920232199746</v>
      </c>
      <c r="AC388" s="232">
        <f t="shared" si="203"/>
        <v>137.97137166968815</v>
      </c>
      <c r="AD388" s="232">
        <f t="shared" si="203"/>
        <v>147.02340019042907</v>
      </c>
      <c r="AE388" s="232">
        <f t="shared" si="203"/>
        <v>156.98878255319909</v>
      </c>
      <c r="AF388" s="232">
        <f t="shared" si="203"/>
        <v>166.63063761402185</v>
      </c>
      <c r="AG388" s="232">
        <f t="shared" si="203"/>
        <v>177.23515396331729</v>
      </c>
      <c r="AH388" s="232">
        <f t="shared" si="203"/>
        <v>187.50005066612897</v>
      </c>
      <c r="AI388" s="232">
        <f t="shared" si="203"/>
        <v>198.78073348367246</v>
      </c>
      <c r="AJ388" s="232">
        <f t="shared" si="203"/>
        <v>209.70458484366776</v>
      </c>
      <c r="AK388" s="232">
        <f t="shared" si="203"/>
        <v>221.69979179878885</v>
      </c>
      <c r="AL388" s="232">
        <f t="shared" si="203"/>
        <v>233.32148507476333</v>
      </c>
    </row>
    <row r="389" spans="2:38" outlineLevel="1" x14ac:dyDescent="0.2">
      <c r="B389" s="296"/>
      <c r="D389" s="294"/>
      <c r="E389" s="231"/>
      <c r="F389" s="231"/>
    </row>
    <row r="390" spans="2:38" outlineLevel="1" x14ac:dyDescent="0.2">
      <c r="B390" s="293" t="s">
        <v>226</v>
      </c>
      <c r="D390" s="294"/>
      <c r="E390" s="231"/>
      <c r="F390" s="231"/>
    </row>
    <row r="391" spans="2:38" outlineLevel="1" x14ac:dyDescent="0.2">
      <c r="B391" s="263" t="s">
        <v>227</v>
      </c>
      <c r="C391" s="205" t="s">
        <v>37</v>
      </c>
      <c r="D391" s="294"/>
      <c r="E391" s="232"/>
      <c r="F391" s="232"/>
      <c r="G391" s="232">
        <f t="shared" ref="G391:AL391" si="205">F393</f>
        <v>0</v>
      </c>
      <c r="H391" s="232">
        <f t="shared" si="205"/>
        <v>0</v>
      </c>
      <c r="I391" s="232">
        <f t="shared" si="205"/>
        <v>0</v>
      </c>
      <c r="J391" s="232">
        <f t="shared" si="205"/>
        <v>0</v>
      </c>
      <c r="K391" s="232">
        <f t="shared" si="205"/>
        <v>0</v>
      </c>
      <c r="L391" s="232">
        <f t="shared" si="205"/>
        <v>0</v>
      </c>
      <c r="M391" s="232">
        <f t="shared" si="205"/>
        <v>0</v>
      </c>
      <c r="N391" s="232">
        <f t="shared" si="205"/>
        <v>0</v>
      </c>
      <c r="O391" s="232">
        <f t="shared" si="205"/>
        <v>0</v>
      </c>
      <c r="P391" s="232">
        <f t="shared" si="205"/>
        <v>0</v>
      </c>
      <c r="Q391" s="232">
        <f t="shared" si="205"/>
        <v>0</v>
      </c>
      <c r="R391" s="232">
        <f t="shared" si="205"/>
        <v>0</v>
      </c>
      <c r="S391" s="232">
        <f t="shared" si="205"/>
        <v>0</v>
      </c>
      <c r="T391" s="232">
        <f t="shared" si="205"/>
        <v>0</v>
      </c>
      <c r="U391" s="232">
        <f t="shared" si="205"/>
        <v>0</v>
      </c>
      <c r="V391" s="232">
        <f t="shared" si="205"/>
        <v>0</v>
      </c>
      <c r="W391" s="232">
        <f t="shared" si="205"/>
        <v>0</v>
      </c>
      <c r="X391" s="232">
        <f t="shared" si="205"/>
        <v>0</v>
      </c>
      <c r="Y391" s="232">
        <f t="shared" si="205"/>
        <v>0</v>
      </c>
      <c r="Z391" s="232">
        <f t="shared" si="205"/>
        <v>0</v>
      </c>
      <c r="AA391" s="232">
        <f t="shared" si="205"/>
        <v>0</v>
      </c>
      <c r="AB391" s="232">
        <f t="shared" si="205"/>
        <v>0</v>
      </c>
      <c r="AC391" s="232">
        <f t="shared" si="205"/>
        <v>0</v>
      </c>
      <c r="AD391" s="232">
        <f t="shared" si="205"/>
        <v>0</v>
      </c>
      <c r="AE391" s="232">
        <f t="shared" si="205"/>
        <v>0</v>
      </c>
      <c r="AF391" s="232">
        <f t="shared" si="205"/>
        <v>0</v>
      </c>
      <c r="AG391" s="232">
        <f t="shared" si="205"/>
        <v>0</v>
      </c>
      <c r="AH391" s="232">
        <f t="shared" si="205"/>
        <v>0</v>
      </c>
      <c r="AI391" s="232">
        <f t="shared" si="205"/>
        <v>0</v>
      </c>
      <c r="AJ391" s="232">
        <f t="shared" si="205"/>
        <v>0</v>
      </c>
      <c r="AK391" s="232">
        <f t="shared" si="205"/>
        <v>0</v>
      </c>
      <c r="AL391" s="232">
        <f t="shared" si="205"/>
        <v>0</v>
      </c>
    </row>
    <row r="392" spans="2:38" outlineLevel="1" x14ac:dyDescent="0.2">
      <c r="B392" s="295" t="s">
        <v>228</v>
      </c>
      <c r="C392" s="205" t="s">
        <v>37</v>
      </c>
      <c r="D392" s="294"/>
      <c r="E392" s="256"/>
      <c r="F392" s="256"/>
      <c r="G392" s="256">
        <f t="shared" ref="G392:AL392" si="206">-MIN(G388,G391)</f>
        <v>0</v>
      </c>
      <c r="H392" s="256">
        <f t="shared" si="206"/>
        <v>0</v>
      </c>
      <c r="I392" s="256">
        <f t="shared" si="206"/>
        <v>0</v>
      </c>
      <c r="J392" s="256">
        <f t="shared" ref="J392" si="207">-MIN(J388,J391)</f>
        <v>0</v>
      </c>
      <c r="K392" s="256">
        <f t="shared" si="206"/>
        <v>0</v>
      </c>
      <c r="L392" s="256">
        <f t="shared" si="206"/>
        <v>0</v>
      </c>
      <c r="M392" s="256">
        <f t="shared" si="206"/>
        <v>0</v>
      </c>
      <c r="N392" s="256">
        <f t="shared" si="206"/>
        <v>0</v>
      </c>
      <c r="O392" s="256">
        <f t="shared" si="206"/>
        <v>0</v>
      </c>
      <c r="P392" s="256">
        <f t="shared" si="206"/>
        <v>0</v>
      </c>
      <c r="Q392" s="256">
        <f t="shared" si="206"/>
        <v>0</v>
      </c>
      <c r="R392" s="256">
        <f t="shared" si="206"/>
        <v>0</v>
      </c>
      <c r="S392" s="256">
        <f t="shared" si="206"/>
        <v>0</v>
      </c>
      <c r="T392" s="256">
        <f t="shared" si="206"/>
        <v>0</v>
      </c>
      <c r="U392" s="256">
        <f t="shared" si="206"/>
        <v>0</v>
      </c>
      <c r="V392" s="256">
        <f t="shared" si="206"/>
        <v>0</v>
      </c>
      <c r="W392" s="256">
        <f t="shared" si="206"/>
        <v>0</v>
      </c>
      <c r="X392" s="256">
        <f t="shared" si="206"/>
        <v>0</v>
      </c>
      <c r="Y392" s="256">
        <f t="shared" si="206"/>
        <v>0</v>
      </c>
      <c r="Z392" s="256">
        <f t="shared" si="206"/>
        <v>0</v>
      </c>
      <c r="AA392" s="256">
        <f t="shared" si="206"/>
        <v>0</v>
      </c>
      <c r="AB392" s="256">
        <f t="shared" si="206"/>
        <v>0</v>
      </c>
      <c r="AC392" s="256">
        <f t="shared" si="206"/>
        <v>0</v>
      </c>
      <c r="AD392" s="256">
        <f t="shared" si="206"/>
        <v>0</v>
      </c>
      <c r="AE392" s="256">
        <f t="shared" si="206"/>
        <v>0</v>
      </c>
      <c r="AF392" s="256">
        <f t="shared" si="206"/>
        <v>0</v>
      </c>
      <c r="AG392" s="256">
        <f t="shared" si="206"/>
        <v>0</v>
      </c>
      <c r="AH392" s="256">
        <f t="shared" si="206"/>
        <v>0</v>
      </c>
      <c r="AI392" s="256">
        <f t="shared" si="206"/>
        <v>0</v>
      </c>
      <c r="AJ392" s="256">
        <f t="shared" si="206"/>
        <v>0</v>
      </c>
      <c r="AK392" s="256">
        <f t="shared" si="206"/>
        <v>0</v>
      </c>
      <c r="AL392" s="256">
        <f t="shared" si="206"/>
        <v>0</v>
      </c>
    </row>
    <row r="393" spans="2:38" outlineLevel="1" x14ac:dyDescent="0.2">
      <c r="B393" s="263" t="s">
        <v>229</v>
      </c>
      <c r="C393" s="205" t="s">
        <v>37</v>
      </c>
      <c r="D393" s="294"/>
      <c r="E393" s="284"/>
      <c r="F393" s="284"/>
      <c r="G393" s="284">
        <f t="shared" ref="G393:AL393" si="208">SUM(G391:G392)</f>
        <v>0</v>
      </c>
      <c r="H393" s="284">
        <f t="shared" si="208"/>
        <v>0</v>
      </c>
      <c r="I393" s="284">
        <f t="shared" si="208"/>
        <v>0</v>
      </c>
      <c r="J393" s="284">
        <f t="shared" ref="J393" si="209">SUM(J391:J392)</f>
        <v>0</v>
      </c>
      <c r="K393" s="284">
        <f t="shared" si="208"/>
        <v>0</v>
      </c>
      <c r="L393" s="284">
        <f t="shared" si="208"/>
        <v>0</v>
      </c>
      <c r="M393" s="284">
        <f t="shared" si="208"/>
        <v>0</v>
      </c>
      <c r="N393" s="284">
        <f t="shared" si="208"/>
        <v>0</v>
      </c>
      <c r="O393" s="284">
        <f t="shared" si="208"/>
        <v>0</v>
      </c>
      <c r="P393" s="284">
        <f t="shared" si="208"/>
        <v>0</v>
      </c>
      <c r="Q393" s="284">
        <f t="shared" si="208"/>
        <v>0</v>
      </c>
      <c r="R393" s="284">
        <f t="shared" si="208"/>
        <v>0</v>
      </c>
      <c r="S393" s="284">
        <f t="shared" si="208"/>
        <v>0</v>
      </c>
      <c r="T393" s="284">
        <f t="shared" si="208"/>
        <v>0</v>
      </c>
      <c r="U393" s="284">
        <f t="shared" si="208"/>
        <v>0</v>
      </c>
      <c r="V393" s="284">
        <f t="shared" si="208"/>
        <v>0</v>
      </c>
      <c r="W393" s="284">
        <f t="shared" si="208"/>
        <v>0</v>
      </c>
      <c r="X393" s="284">
        <f t="shared" si="208"/>
        <v>0</v>
      </c>
      <c r="Y393" s="284">
        <f t="shared" si="208"/>
        <v>0</v>
      </c>
      <c r="Z393" s="284">
        <f t="shared" si="208"/>
        <v>0</v>
      </c>
      <c r="AA393" s="284">
        <f t="shared" si="208"/>
        <v>0</v>
      </c>
      <c r="AB393" s="284">
        <f t="shared" si="208"/>
        <v>0</v>
      </c>
      <c r="AC393" s="284">
        <f t="shared" si="208"/>
        <v>0</v>
      </c>
      <c r="AD393" s="284">
        <f t="shared" si="208"/>
        <v>0</v>
      </c>
      <c r="AE393" s="284">
        <f t="shared" si="208"/>
        <v>0</v>
      </c>
      <c r="AF393" s="284">
        <f t="shared" si="208"/>
        <v>0</v>
      </c>
      <c r="AG393" s="284">
        <f t="shared" si="208"/>
        <v>0</v>
      </c>
      <c r="AH393" s="284">
        <f t="shared" si="208"/>
        <v>0</v>
      </c>
      <c r="AI393" s="284">
        <f t="shared" si="208"/>
        <v>0</v>
      </c>
      <c r="AJ393" s="284">
        <f t="shared" si="208"/>
        <v>0</v>
      </c>
      <c r="AK393" s="284">
        <f t="shared" si="208"/>
        <v>0</v>
      </c>
      <c r="AL393" s="284">
        <f t="shared" si="208"/>
        <v>0</v>
      </c>
    </row>
    <row r="394" spans="2:38" outlineLevel="1" x14ac:dyDescent="0.2">
      <c r="B394" s="263"/>
      <c r="D394" s="294"/>
      <c r="E394" s="297"/>
      <c r="F394" s="297"/>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c r="AC394" s="256"/>
      <c r="AD394" s="256"/>
      <c r="AE394" s="256"/>
      <c r="AF394" s="256"/>
      <c r="AG394" s="256"/>
      <c r="AH394" s="256"/>
      <c r="AI394" s="256"/>
      <c r="AJ394" s="256"/>
      <c r="AK394" s="256"/>
      <c r="AL394" s="256"/>
    </row>
    <row r="395" spans="2:38" outlineLevel="1" x14ac:dyDescent="0.2">
      <c r="B395" s="246" t="s">
        <v>230</v>
      </c>
      <c r="D395" s="294"/>
      <c r="E395" s="281"/>
      <c r="F395" s="281"/>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row>
    <row r="396" spans="2:38" outlineLevel="1" x14ac:dyDescent="0.2">
      <c r="B396" s="246"/>
      <c r="D396" s="294"/>
      <c r="E396" s="281"/>
      <c r="F396" s="281"/>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row>
    <row r="397" spans="2:38" outlineLevel="1" x14ac:dyDescent="0.2">
      <c r="B397" s="295" t="s">
        <v>232</v>
      </c>
      <c r="C397" s="205" t="s">
        <v>37</v>
      </c>
      <c r="D397" s="294"/>
      <c r="E397" s="284"/>
      <c r="F397" s="284"/>
      <c r="G397" s="284">
        <f t="shared" ref="G397:AL397" si="210">F399</f>
        <v>0</v>
      </c>
      <c r="H397" s="284">
        <f t="shared" si="210"/>
        <v>0</v>
      </c>
      <c r="I397" s="284">
        <f t="shared" si="210"/>
        <v>33.299999999999997</v>
      </c>
      <c r="J397" s="284">
        <f t="shared" si="210"/>
        <v>33.799999999999997</v>
      </c>
      <c r="K397" s="284">
        <f t="shared" si="210"/>
        <v>0</v>
      </c>
      <c r="L397" s="284">
        <f t="shared" si="210"/>
        <v>0</v>
      </c>
      <c r="M397" s="284">
        <f t="shared" si="210"/>
        <v>0</v>
      </c>
      <c r="N397" s="284">
        <f t="shared" si="210"/>
        <v>0</v>
      </c>
      <c r="O397" s="284">
        <f t="shared" si="210"/>
        <v>0</v>
      </c>
      <c r="P397" s="284">
        <f t="shared" si="210"/>
        <v>0</v>
      </c>
      <c r="Q397" s="284">
        <f t="shared" si="210"/>
        <v>0</v>
      </c>
      <c r="R397" s="284">
        <f t="shared" si="210"/>
        <v>0</v>
      </c>
      <c r="S397" s="284">
        <f t="shared" si="210"/>
        <v>0</v>
      </c>
      <c r="T397" s="284">
        <f t="shared" si="210"/>
        <v>0</v>
      </c>
      <c r="U397" s="284">
        <f t="shared" si="210"/>
        <v>0</v>
      </c>
      <c r="V397" s="284">
        <f t="shared" si="210"/>
        <v>0</v>
      </c>
      <c r="W397" s="284">
        <f t="shared" si="210"/>
        <v>0</v>
      </c>
      <c r="X397" s="284">
        <f t="shared" si="210"/>
        <v>0</v>
      </c>
      <c r="Y397" s="284">
        <f t="shared" si="210"/>
        <v>0</v>
      </c>
      <c r="Z397" s="284">
        <f t="shared" si="210"/>
        <v>0</v>
      </c>
      <c r="AA397" s="284">
        <f t="shared" si="210"/>
        <v>0</v>
      </c>
      <c r="AB397" s="284">
        <f t="shared" si="210"/>
        <v>0</v>
      </c>
      <c r="AC397" s="284">
        <f t="shared" si="210"/>
        <v>0</v>
      </c>
      <c r="AD397" s="284">
        <f t="shared" si="210"/>
        <v>0</v>
      </c>
      <c r="AE397" s="284">
        <f t="shared" si="210"/>
        <v>0</v>
      </c>
      <c r="AF397" s="284">
        <f t="shared" si="210"/>
        <v>0</v>
      </c>
      <c r="AG397" s="284">
        <f t="shared" si="210"/>
        <v>0</v>
      </c>
      <c r="AH397" s="284">
        <f t="shared" si="210"/>
        <v>0</v>
      </c>
      <c r="AI397" s="284">
        <f t="shared" si="210"/>
        <v>0</v>
      </c>
      <c r="AJ397" s="284">
        <f t="shared" si="210"/>
        <v>0</v>
      </c>
      <c r="AK397" s="284">
        <f t="shared" si="210"/>
        <v>0</v>
      </c>
      <c r="AL397" s="284">
        <f t="shared" si="210"/>
        <v>0</v>
      </c>
    </row>
    <row r="398" spans="2:38" outlineLevel="1" x14ac:dyDescent="0.2">
      <c r="B398" s="295" t="s">
        <v>233</v>
      </c>
      <c r="C398" s="205" t="s">
        <v>37</v>
      </c>
      <c r="E398" s="256"/>
      <c r="F398" s="256"/>
      <c r="G398" s="256">
        <f>G399-G397</f>
        <v>0</v>
      </c>
      <c r="H398" s="256">
        <f>H399-H397</f>
        <v>33.299999999999997</v>
      </c>
      <c r="I398" s="256">
        <f>I399-I397</f>
        <v>0.5</v>
      </c>
      <c r="J398" s="256">
        <f>J399-J397</f>
        <v>-33.799999999999997</v>
      </c>
      <c r="K398" s="250">
        <v>0</v>
      </c>
      <c r="L398" s="250">
        <v>0</v>
      </c>
      <c r="M398" s="250">
        <v>0</v>
      </c>
      <c r="N398" s="250">
        <v>0</v>
      </c>
      <c r="O398" s="250">
        <v>0</v>
      </c>
      <c r="P398" s="250">
        <v>0</v>
      </c>
      <c r="Q398" s="250">
        <v>0</v>
      </c>
      <c r="R398" s="250">
        <v>0</v>
      </c>
      <c r="S398" s="250">
        <v>0</v>
      </c>
      <c r="T398" s="250">
        <v>0</v>
      </c>
      <c r="U398" s="250">
        <v>0</v>
      </c>
      <c r="V398" s="250">
        <v>0</v>
      </c>
      <c r="W398" s="250">
        <v>0</v>
      </c>
      <c r="X398" s="250">
        <v>0</v>
      </c>
      <c r="Y398" s="250">
        <v>0</v>
      </c>
      <c r="Z398" s="250">
        <v>0</v>
      </c>
      <c r="AA398" s="250">
        <v>0</v>
      </c>
      <c r="AB398" s="250">
        <v>0</v>
      </c>
      <c r="AC398" s="250">
        <v>0</v>
      </c>
      <c r="AD398" s="250">
        <v>0</v>
      </c>
      <c r="AE398" s="250">
        <v>0</v>
      </c>
      <c r="AF398" s="250">
        <v>0</v>
      </c>
      <c r="AG398" s="250">
        <v>0</v>
      </c>
      <c r="AH398" s="250">
        <v>0</v>
      </c>
      <c r="AI398" s="250">
        <v>0</v>
      </c>
      <c r="AJ398" s="250">
        <v>0</v>
      </c>
      <c r="AK398" s="250">
        <v>0</v>
      </c>
      <c r="AL398" s="250">
        <v>0</v>
      </c>
    </row>
    <row r="399" spans="2:38" outlineLevel="1" x14ac:dyDescent="0.2">
      <c r="B399" s="263" t="s">
        <v>231</v>
      </c>
      <c r="C399" s="205" t="s">
        <v>37</v>
      </c>
      <c r="D399" s="294"/>
      <c r="E399" s="284"/>
      <c r="F399" s="284"/>
      <c r="G399" s="284">
        <f>G309</f>
        <v>0</v>
      </c>
      <c r="H399" s="284">
        <f>H309</f>
        <v>33.299999999999997</v>
      </c>
      <c r="I399" s="284">
        <f>I309</f>
        <v>33.799999999999997</v>
      </c>
      <c r="J399" s="284">
        <f>J309</f>
        <v>0</v>
      </c>
      <c r="K399" s="291">
        <f t="shared" ref="K399:AL399" si="211">SUM(K397:K398)</f>
        <v>0</v>
      </c>
      <c r="L399" s="291">
        <f t="shared" si="211"/>
        <v>0</v>
      </c>
      <c r="M399" s="291">
        <f t="shared" si="211"/>
        <v>0</v>
      </c>
      <c r="N399" s="291">
        <f t="shared" si="211"/>
        <v>0</v>
      </c>
      <c r="O399" s="291">
        <f t="shared" si="211"/>
        <v>0</v>
      </c>
      <c r="P399" s="291">
        <f t="shared" si="211"/>
        <v>0</v>
      </c>
      <c r="Q399" s="291">
        <f t="shared" si="211"/>
        <v>0</v>
      </c>
      <c r="R399" s="291">
        <f t="shared" si="211"/>
        <v>0</v>
      </c>
      <c r="S399" s="291">
        <f t="shared" si="211"/>
        <v>0</v>
      </c>
      <c r="T399" s="291">
        <f t="shared" si="211"/>
        <v>0</v>
      </c>
      <c r="U399" s="291">
        <f t="shared" si="211"/>
        <v>0</v>
      </c>
      <c r="V399" s="291">
        <f t="shared" si="211"/>
        <v>0</v>
      </c>
      <c r="W399" s="291">
        <f t="shared" si="211"/>
        <v>0</v>
      </c>
      <c r="X399" s="291">
        <f t="shared" si="211"/>
        <v>0</v>
      </c>
      <c r="Y399" s="291">
        <f t="shared" si="211"/>
        <v>0</v>
      </c>
      <c r="Z399" s="291">
        <f t="shared" si="211"/>
        <v>0</v>
      </c>
      <c r="AA399" s="291">
        <f t="shared" si="211"/>
        <v>0</v>
      </c>
      <c r="AB399" s="291">
        <f t="shared" si="211"/>
        <v>0</v>
      </c>
      <c r="AC399" s="291">
        <f t="shared" si="211"/>
        <v>0</v>
      </c>
      <c r="AD399" s="291">
        <f t="shared" si="211"/>
        <v>0</v>
      </c>
      <c r="AE399" s="291">
        <f t="shared" si="211"/>
        <v>0</v>
      </c>
      <c r="AF399" s="291">
        <f t="shared" si="211"/>
        <v>0</v>
      </c>
      <c r="AG399" s="291">
        <f t="shared" si="211"/>
        <v>0</v>
      </c>
      <c r="AH399" s="291">
        <f t="shared" si="211"/>
        <v>0</v>
      </c>
      <c r="AI399" s="291">
        <f t="shared" si="211"/>
        <v>0</v>
      </c>
      <c r="AJ399" s="291">
        <f t="shared" si="211"/>
        <v>0</v>
      </c>
      <c r="AK399" s="291">
        <f t="shared" si="211"/>
        <v>0</v>
      </c>
      <c r="AL399" s="291">
        <f t="shared" si="211"/>
        <v>0</v>
      </c>
    </row>
    <row r="400" spans="2:38" outlineLevel="1" x14ac:dyDescent="0.2">
      <c r="B400" s="246"/>
      <c r="D400" s="294"/>
      <c r="E400" s="281"/>
      <c r="F400" s="281"/>
      <c r="G400" s="281"/>
      <c r="H400" s="281"/>
      <c r="I400" s="281"/>
      <c r="J400" s="281"/>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row>
    <row r="401" spans="1:38" outlineLevel="1" x14ac:dyDescent="0.2">
      <c r="B401" s="295" t="s">
        <v>232</v>
      </c>
      <c r="C401" s="205" t="s">
        <v>37</v>
      </c>
      <c r="D401" s="294"/>
      <c r="E401" s="284"/>
      <c r="F401" s="284"/>
      <c r="G401" s="284">
        <f t="shared" ref="G401:AL401" si="212">F403</f>
        <v>0</v>
      </c>
      <c r="H401" s="284">
        <f t="shared" si="212"/>
        <v>0.1</v>
      </c>
      <c r="I401" s="284">
        <f t="shared" si="212"/>
        <v>0</v>
      </c>
      <c r="J401" s="284">
        <f t="shared" si="212"/>
        <v>0</v>
      </c>
      <c r="K401" s="284">
        <f t="shared" si="212"/>
        <v>33.799999999999997</v>
      </c>
      <c r="L401" s="284">
        <f t="shared" si="212"/>
        <v>33.799999999999997</v>
      </c>
      <c r="M401" s="284">
        <f t="shared" si="212"/>
        <v>33.799999999999997</v>
      </c>
      <c r="N401" s="284">
        <f t="shared" si="212"/>
        <v>33.799999999999997</v>
      </c>
      <c r="O401" s="284">
        <f t="shared" si="212"/>
        <v>33.799999999999997</v>
      </c>
      <c r="P401" s="284">
        <f t="shared" si="212"/>
        <v>33.799999999999997</v>
      </c>
      <c r="Q401" s="284">
        <f t="shared" si="212"/>
        <v>33.799999999999997</v>
      </c>
      <c r="R401" s="284">
        <f t="shared" si="212"/>
        <v>33.799999999999997</v>
      </c>
      <c r="S401" s="284">
        <f t="shared" si="212"/>
        <v>33.799999999999997</v>
      </c>
      <c r="T401" s="284">
        <f t="shared" si="212"/>
        <v>33.799999999999997</v>
      </c>
      <c r="U401" s="284">
        <f t="shared" si="212"/>
        <v>33.799999999999997</v>
      </c>
      <c r="V401" s="284">
        <f t="shared" si="212"/>
        <v>33.799999999999997</v>
      </c>
      <c r="W401" s="284">
        <f t="shared" si="212"/>
        <v>33.799999999999997</v>
      </c>
      <c r="X401" s="284">
        <f t="shared" si="212"/>
        <v>33.799999999999997</v>
      </c>
      <c r="Y401" s="284">
        <f t="shared" si="212"/>
        <v>33.799999999999997</v>
      </c>
      <c r="Z401" s="284">
        <f t="shared" si="212"/>
        <v>33.799999999999997</v>
      </c>
      <c r="AA401" s="284">
        <f t="shared" si="212"/>
        <v>33.799999999999997</v>
      </c>
      <c r="AB401" s="284">
        <f t="shared" si="212"/>
        <v>33.799999999999997</v>
      </c>
      <c r="AC401" s="284">
        <f t="shared" si="212"/>
        <v>33.799999999999997</v>
      </c>
      <c r="AD401" s="284">
        <f t="shared" si="212"/>
        <v>33.799999999999997</v>
      </c>
      <c r="AE401" s="284">
        <f t="shared" si="212"/>
        <v>33.799999999999997</v>
      </c>
      <c r="AF401" s="284">
        <f t="shared" si="212"/>
        <v>33.799999999999997</v>
      </c>
      <c r="AG401" s="284">
        <f t="shared" si="212"/>
        <v>33.799999999999997</v>
      </c>
      <c r="AH401" s="284">
        <f t="shared" si="212"/>
        <v>33.799999999999997</v>
      </c>
      <c r="AI401" s="284">
        <f t="shared" si="212"/>
        <v>33.799999999999997</v>
      </c>
      <c r="AJ401" s="284">
        <f t="shared" si="212"/>
        <v>33.799999999999997</v>
      </c>
      <c r="AK401" s="284">
        <f t="shared" si="212"/>
        <v>33.799999999999997</v>
      </c>
      <c r="AL401" s="284">
        <f t="shared" si="212"/>
        <v>33.799999999999997</v>
      </c>
    </row>
    <row r="402" spans="1:38" outlineLevel="1" x14ac:dyDescent="0.2">
      <c r="B402" s="295" t="s">
        <v>233</v>
      </c>
      <c r="C402" s="205" t="s">
        <v>37</v>
      </c>
      <c r="E402" s="256"/>
      <c r="F402" s="256"/>
      <c r="G402" s="256">
        <f>G403-G401</f>
        <v>0.1</v>
      </c>
      <c r="H402" s="256">
        <f>H403-H401</f>
        <v>-0.1</v>
      </c>
      <c r="I402" s="256">
        <f>I403-I401</f>
        <v>0</v>
      </c>
      <c r="J402" s="256">
        <f>J403-J401</f>
        <v>33.799999999999997</v>
      </c>
      <c r="K402" s="250">
        <v>0</v>
      </c>
      <c r="L402" s="250">
        <v>0</v>
      </c>
      <c r="M402" s="250">
        <v>0</v>
      </c>
      <c r="N402" s="250">
        <v>0</v>
      </c>
      <c r="O402" s="250">
        <v>0</v>
      </c>
      <c r="P402" s="250">
        <v>0</v>
      </c>
      <c r="Q402" s="250">
        <v>0</v>
      </c>
      <c r="R402" s="250">
        <v>0</v>
      </c>
      <c r="S402" s="250">
        <v>0</v>
      </c>
      <c r="T402" s="250">
        <v>0</v>
      </c>
      <c r="U402" s="250">
        <v>0</v>
      </c>
      <c r="V402" s="250">
        <v>0</v>
      </c>
      <c r="W402" s="250">
        <v>0</v>
      </c>
      <c r="X402" s="250">
        <v>0</v>
      </c>
      <c r="Y402" s="250">
        <v>0</v>
      </c>
      <c r="Z402" s="250">
        <v>0</v>
      </c>
      <c r="AA402" s="250">
        <v>0</v>
      </c>
      <c r="AB402" s="250">
        <v>0</v>
      </c>
      <c r="AC402" s="250">
        <v>0</v>
      </c>
      <c r="AD402" s="250">
        <v>0</v>
      </c>
      <c r="AE402" s="250">
        <v>0</v>
      </c>
      <c r="AF402" s="250">
        <v>0</v>
      </c>
      <c r="AG402" s="250">
        <v>0</v>
      </c>
      <c r="AH402" s="250">
        <v>0</v>
      </c>
      <c r="AI402" s="250">
        <v>0</v>
      </c>
      <c r="AJ402" s="250">
        <v>0</v>
      </c>
      <c r="AK402" s="250">
        <v>0</v>
      </c>
      <c r="AL402" s="250">
        <v>0</v>
      </c>
    </row>
    <row r="403" spans="1:38" outlineLevel="1" x14ac:dyDescent="0.2">
      <c r="B403" s="263" t="s">
        <v>185</v>
      </c>
      <c r="C403" s="205" t="s">
        <v>37</v>
      </c>
      <c r="D403" s="294"/>
      <c r="E403" s="284"/>
      <c r="F403" s="284"/>
      <c r="G403" s="284">
        <f>G319</f>
        <v>0.1</v>
      </c>
      <c r="H403" s="284">
        <f>H319</f>
        <v>0</v>
      </c>
      <c r="I403" s="284">
        <f>I319</f>
        <v>0</v>
      </c>
      <c r="J403" s="284">
        <f>J319</f>
        <v>33.799999999999997</v>
      </c>
      <c r="K403" s="291">
        <f t="shared" ref="K403:AL403" si="213">SUM(K401:K402)</f>
        <v>33.799999999999997</v>
      </c>
      <c r="L403" s="291">
        <f t="shared" si="213"/>
        <v>33.799999999999997</v>
      </c>
      <c r="M403" s="291">
        <f t="shared" si="213"/>
        <v>33.799999999999997</v>
      </c>
      <c r="N403" s="291">
        <f t="shared" si="213"/>
        <v>33.799999999999997</v>
      </c>
      <c r="O403" s="291">
        <f t="shared" si="213"/>
        <v>33.799999999999997</v>
      </c>
      <c r="P403" s="291">
        <f t="shared" si="213"/>
        <v>33.799999999999997</v>
      </c>
      <c r="Q403" s="291">
        <f t="shared" si="213"/>
        <v>33.799999999999997</v>
      </c>
      <c r="R403" s="291">
        <f t="shared" si="213"/>
        <v>33.799999999999997</v>
      </c>
      <c r="S403" s="291">
        <f t="shared" si="213"/>
        <v>33.799999999999997</v>
      </c>
      <c r="T403" s="291">
        <f t="shared" si="213"/>
        <v>33.799999999999997</v>
      </c>
      <c r="U403" s="291">
        <f t="shared" si="213"/>
        <v>33.799999999999997</v>
      </c>
      <c r="V403" s="291">
        <f t="shared" si="213"/>
        <v>33.799999999999997</v>
      </c>
      <c r="W403" s="291">
        <f t="shared" si="213"/>
        <v>33.799999999999997</v>
      </c>
      <c r="X403" s="291">
        <f t="shared" si="213"/>
        <v>33.799999999999997</v>
      </c>
      <c r="Y403" s="291">
        <f t="shared" si="213"/>
        <v>33.799999999999997</v>
      </c>
      <c r="Z403" s="291">
        <f t="shared" si="213"/>
        <v>33.799999999999997</v>
      </c>
      <c r="AA403" s="291">
        <f t="shared" si="213"/>
        <v>33.799999999999997</v>
      </c>
      <c r="AB403" s="291">
        <f t="shared" si="213"/>
        <v>33.799999999999997</v>
      </c>
      <c r="AC403" s="291">
        <f t="shared" si="213"/>
        <v>33.799999999999997</v>
      </c>
      <c r="AD403" s="291">
        <f t="shared" si="213"/>
        <v>33.799999999999997</v>
      </c>
      <c r="AE403" s="291">
        <f t="shared" si="213"/>
        <v>33.799999999999997</v>
      </c>
      <c r="AF403" s="291">
        <f t="shared" si="213"/>
        <v>33.799999999999997</v>
      </c>
      <c r="AG403" s="291">
        <f t="shared" si="213"/>
        <v>33.799999999999997</v>
      </c>
      <c r="AH403" s="291">
        <f t="shared" si="213"/>
        <v>33.799999999999997</v>
      </c>
      <c r="AI403" s="291">
        <f t="shared" si="213"/>
        <v>33.799999999999997</v>
      </c>
      <c r="AJ403" s="291">
        <f t="shared" si="213"/>
        <v>33.799999999999997</v>
      </c>
      <c r="AK403" s="291">
        <f t="shared" si="213"/>
        <v>33.799999999999997</v>
      </c>
      <c r="AL403" s="291">
        <f t="shared" si="213"/>
        <v>33.799999999999997</v>
      </c>
    </row>
    <row r="404" spans="1:38" s="237" customFormat="1" outlineLevel="1" x14ac:dyDescent="0.2">
      <c r="A404" s="218"/>
      <c r="B404" s="272"/>
      <c r="C404" s="247"/>
      <c r="D404" s="273"/>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c r="AA404" s="288"/>
      <c r="AB404" s="288"/>
      <c r="AC404" s="288"/>
      <c r="AD404" s="288"/>
      <c r="AE404" s="288"/>
      <c r="AF404" s="288"/>
      <c r="AG404" s="288"/>
      <c r="AH404" s="288"/>
      <c r="AI404" s="288"/>
      <c r="AJ404" s="288"/>
      <c r="AK404" s="288"/>
      <c r="AL404" s="288"/>
    </row>
    <row r="405" spans="1:38" s="237" customFormat="1" outlineLevel="1" x14ac:dyDescent="0.2">
      <c r="A405" s="218"/>
      <c r="B405" s="263" t="s">
        <v>177</v>
      </c>
      <c r="C405" s="205" t="s">
        <v>37</v>
      </c>
      <c r="D405" s="273"/>
      <c r="E405" s="288"/>
      <c r="F405" s="288"/>
      <c r="G405" s="284">
        <f t="shared" ref="G405:AL405" si="214">G393</f>
        <v>0</v>
      </c>
      <c r="H405" s="284">
        <f t="shared" si="214"/>
        <v>0</v>
      </c>
      <c r="I405" s="284">
        <f t="shared" si="214"/>
        <v>0</v>
      </c>
      <c r="J405" s="284">
        <f t="shared" ref="J405" si="215">J393</f>
        <v>0</v>
      </c>
      <c r="K405" s="284">
        <f t="shared" si="214"/>
        <v>0</v>
      </c>
      <c r="L405" s="284">
        <f t="shared" si="214"/>
        <v>0</v>
      </c>
      <c r="M405" s="284">
        <f t="shared" si="214"/>
        <v>0</v>
      </c>
      <c r="N405" s="284">
        <f t="shared" si="214"/>
        <v>0</v>
      </c>
      <c r="O405" s="284">
        <f t="shared" si="214"/>
        <v>0</v>
      </c>
      <c r="P405" s="284">
        <f t="shared" si="214"/>
        <v>0</v>
      </c>
      <c r="Q405" s="284">
        <f t="shared" si="214"/>
        <v>0</v>
      </c>
      <c r="R405" s="284">
        <f t="shared" si="214"/>
        <v>0</v>
      </c>
      <c r="S405" s="284">
        <f t="shared" si="214"/>
        <v>0</v>
      </c>
      <c r="T405" s="284">
        <f t="shared" si="214"/>
        <v>0</v>
      </c>
      <c r="U405" s="284">
        <f t="shared" si="214"/>
        <v>0</v>
      </c>
      <c r="V405" s="284">
        <f t="shared" si="214"/>
        <v>0</v>
      </c>
      <c r="W405" s="284">
        <f t="shared" si="214"/>
        <v>0</v>
      </c>
      <c r="X405" s="284">
        <f t="shared" si="214"/>
        <v>0</v>
      </c>
      <c r="Y405" s="284">
        <f t="shared" si="214"/>
        <v>0</v>
      </c>
      <c r="Z405" s="284">
        <f t="shared" si="214"/>
        <v>0</v>
      </c>
      <c r="AA405" s="284">
        <f t="shared" si="214"/>
        <v>0</v>
      </c>
      <c r="AB405" s="284">
        <f t="shared" si="214"/>
        <v>0</v>
      </c>
      <c r="AC405" s="284">
        <f t="shared" si="214"/>
        <v>0</v>
      </c>
      <c r="AD405" s="284">
        <f t="shared" si="214"/>
        <v>0</v>
      </c>
      <c r="AE405" s="284">
        <f t="shared" si="214"/>
        <v>0</v>
      </c>
      <c r="AF405" s="284">
        <f t="shared" si="214"/>
        <v>0</v>
      </c>
      <c r="AG405" s="284">
        <f t="shared" si="214"/>
        <v>0</v>
      </c>
      <c r="AH405" s="284">
        <f t="shared" si="214"/>
        <v>0</v>
      </c>
      <c r="AI405" s="284">
        <f t="shared" si="214"/>
        <v>0</v>
      </c>
      <c r="AJ405" s="284">
        <f t="shared" si="214"/>
        <v>0</v>
      </c>
      <c r="AK405" s="284">
        <f t="shared" si="214"/>
        <v>0</v>
      </c>
      <c r="AL405" s="284">
        <f t="shared" si="214"/>
        <v>0</v>
      </c>
    </row>
    <row r="406" spans="1:38" s="237" customFormat="1" outlineLevel="1" x14ac:dyDescent="0.2">
      <c r="A406" s="218"/>
      <c r="B406" s="272"/>
      <c r="C406" s="247"/>
      <c r="D406" s="273"/>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c r="AA406" s="288"/>
      <c r="AB406" s="288"/>
      <c r="AC406" s="288"/>
      <c r="AD406" s="288"/>
      <c r="AE406" s="288"/>
      <c r="AF406" s="288"/>
      <c r="AG406" s="288"/>
      <c r="AH406" s="288"/>
      <c r="AI406" s="288"/>
      <c r="AJ406" s="288"/>
      <c r="AK406" s="288"/>
      <c r="AL406" s="288"/>
    </row>
    <row r="407" spans="1:38" s="237" customFormat="1" outlineLevel="1" x14ac:dyDescent="0.2">
      <c r="A407" s="218"/>
      <c r="B407" s="295" t="s">
        <v>234</v>
      </c>
      <c r="C407" s="205" t="s">
        <v>37</v>
      </c>
      <c r="D407" s="273"/>
      <c r="E407" s="288"/>
      <c r="F407" s="288"/>
      <c r="G407" s="284">
        <f t="shared" ref="G407:AL407" si="216">G310</f>
        <v>1</v>
      </c>
      <c r="H407" s="284">
        <f t="shared" si="216"/>
        <v>1</v>
      </c>
      <c r="I407" s="284">
        <f t="shared" si="216"/>
        <v>1.2</v>
      </c>
      <c r="J407" s="284">
        <f t="shared" ref="J407" si="217">J310</f>
        <v>1.2</v>
      </c>
      <c r="K407" s="284">
        <f t="shared" si="216"/>
        <v>1.2</v>
      </c>
      <c r="L407" s="284">
        <f t="shared" si="216"/>
        <v>1.2</v>
      </c>
      <c r="M407" s="284">
        <f t="shared" si="216"/>
        <v>1.2</v>
      </c>
      <c r="N407" s="284">
        <f t="shared" si="216"/>
        <v>1.2</v>
      </c>
      <c r="O407" s="284">
        <f t="shared" si="216"/>
        <v>1.2</v>
      </c>
      <c r="P407" s="284">
        <f t="shared" si="216"/>
        <v>1.2</v>
      </c>
      <c r="Q407" s="284">
        <f t="shared" si="216"/>
        <v>1.2</v>
      </c>
      <c r="R407" s="284">
        <f t="shared" si="216"/>
        <v>1.2</v>
      </c>
      <c r="S407" s="284">
        <f t="shared" si="216"/>
        <v>1.2</v>
      </c>
      <c r="T407" s="284">
        <f t="shared" si="216"/>
        <v>1.2</v>
      </c>
      <c r="U407" s="284">
        <f t="shared" si="216"/>
        <v>1.2</v>
      </c>
      <c r="V407" s="284">
        <f t="shared" si="216"/>
        <v>1.2</v>
      </c>
      <c r="W407" s="284">
        <f t="shared" si="216"/>
        <v>1.2</v>
      </c>
      <c r="X407" s="284">
        <f t="shared" si="216"/>
        <v>1.2</v>
      </c>
      <c r="Y407" s="284">
        <f t="shared" si="216"/>
        <v>1.2</v>
      </c>
      <c r="Z407" s="284">
        <f t="shared" si="216"/>
        <v>1.2</v>
      </c>
      <c r="AA407" s="284">
        <f t="shared" si="216"/>
        <v>1.2</v>
      </c>
      <c r="AB407" s="284">
        <f t="shared" si="216"/>
        <v>1.2</v>
      </c>
      <c r="AC407" s="284">
        <f t="shared" si="216"/>
        <v>1.2</v>
      </c>
      <c r="AD407" s="284">
        <f t="shared" si="216"/>
        <v>1.2</v>
      </c>
      <c r="AE407" s="284">
        <f t="shared" si="216"/>
        <v>1.2</v>
      </c>
      <c r="AF407" s="284">
        <f t="shared" si="216"/>
        <v>1.2</v>
      </c>
      <c r="AG407" s="284">
        <f t="shared" si="216"/>
        <v>1.2</v>
      </c>
      <c r="AH407" s="284">
        <f t="shared" si="216"/>
        <v>1.2</v>
      </c>
      <c r="AI407" s="284">
        <f t="shared" si="216"/>
        <v>1.2</v>
      </c>
      <c r="AJ407" s="284">
        <f t="shared" si="216"/>
        <v>1.2</v>
      </c>
      <c r="AK407" s="284">
        <f t="shared" si="216"/>
        <v>1.2</v>
      </c>
      <c r="AL407" s="284">
        <f t="shared" si="216"/>
        <v>1.2</v>
      </c>
    </row>
    <row r="408" spans="1:38" s="237" customFormat="1" outlineLevel="1" x14ac:dyDescent="0.2">
      <c r="A408" s="218"/>
      <c r="B408" s="295" t="s">
        <v>186</v>
      </c>
      <c r="C408" s="205" t="s">
        <v>37</v>
      </c>
      <c r="D408" s="273"/>
      <c r="E408" s="288"/>
      <c r="F408" s="288"/>
      <c r="G408" s="284">
        <f t="shared" ref="G408:AL408" si="218">G320</f>
        <v>4.9000000000000004</v>
      </c>
      <c r="H408" s="284">
        <f t="shared" si="218"/>
        <v>4.5999999999999996</v>
      </c>
      <c r="I408" s="284">
        <f t="shared" si="218"/>
        <v>4.3</v>
      </c>
      <c r="J408" s="284">
        <f t="shared" ref="J408" si="219">J320</f>
        <v>3.7</v>
      </c>
      <c r="K408" s="284">
        <f t="shared" si="218"/>
        <v>3.7</v>
      </c>
      <c r="L408" s="284">
        <f t="shared" si="218"/>
        <v>3.7</v>
      </c>
      <c r="M408" s="284">
        <f t="shared" si="218"/>
        <v>3.7</v>
      </c>
      <c r="N408" s="284">
        <f t="shared" si="218"/>
        <v>3.7</v>
      </c>
      <c r="O408" s="284">
        <f t="shared" si="218"/>
        <v>3.7</v>
      </c>
      <c r="P408" s="284">
        <f t="shared" si="218"/>
        <v>3.7</v>
      </c>
      <c r="Q408" s="284">
        <f t="shared" si="218"/>
        <v>3.7</v>
      </c>
      <c r="R408" s="284">
        <f t="shared" si="218"/>
        <v>3.7</v>
      </c>
      <c r="S408" s="284">
        <f t="shared" si="218"/>
        <v>3.7</v>
      </c>
      <c r="T408" s="284">
        <f t="shared" si="218"/>
        <v>3.7</v>
      </c>
      <c r="U408" s="284">
        <f t="shared" si="218"/>
        <v>3.7</v>
      </c>
      <c r="V408" s="284">
        <f t="shared" si="218"/>
        <v>3.7</v>
      </c>
      <c r="W408" s="284">
        <f t="shared" si="218"/>
        <v>3.7</v>
      </c>
      <c r="X408" s="284">
        <f t="shared" si="218"/>
        <v>3.7</v>
      </c>
      <c r="Y408" s="284">
        <f t="shared" si="218"/>
        <v>3.7</v>
      </c>
      <c r="Z408" s="284">
        <f t="shared" si="218"/>
        <v>3.7</v>
      </c>
      <c r="AA408" s="284">
        <f t="shared" si="218"/>
        <v>3.7</v>
      </c>
      <c r="AB408" s="284">
        <f t="shared" si="218"/>
        <v>3.7</v>
      </c>
      <c r="AC408" s="284">
        <f t="shared" si="218"/>
        <v>3.7</v>
      </c>
      <c r="AD408" s="284">
        <f t="shared" si="218"/>
        <v>3.7</v>
      </c>
      <c r="AE408" s="284">
        <f t="shared" si="218"/>
        <v>3.7</v>
      </c>
      <c r="AF408" s="284">
        <f t="shared" si="218"/>
        <v>3.7</v>
      </c>
      <c r="AG408" s="284">
        <f t="shared" si="218"/>
        <v>3.7</v>
      </c>
      <c r="AH408" s="284">
        <f t="shared" si="218"/>
        <v>3.7</v>
      </c>
      <c r="AI408" s="284">
        <f t="shared" si="218"/>
        <v>3.7</v>
      </c>
      <c r="AJ408" s="284">
        <f t="shared" si="218"/>
        <v>3.7</v>
      </c>
      <c r="AK408" s="284">
        <f t="shared" si="218"/>
        <v>3.7</v>
      </c>
      <c r="AL408" s="284">
        <f t="shared" si="218"/>
        <v>3.7</v>
      </c>
    </row>
    <row r="409" spans="1:38" outlineLevel="1" x14ac:dyDescent="0.2">
      <c r="B409" s="263" t="s">
        <v>235</v>
      </c>
      <c r="C409" s="205" t="s">
        <v>37</v>
      </c>
      <c r="D409" s="294"/>
      <c r="E409" s="284"/>
      <c r="F409" s="284"/>
      <c r="G409" s="284">
        <f t="shared" ref="G409:AL409" si="220">SUM(G407:G408)</f>
        <v>5.9</v>
      </c>
      <c r="H409" s="284">
        <f t="shared" si="220"/>
        <v>5.6</v>
      </c>
      <c r="I409" s="284">
        <f t="shared" si="220"/>
        <v>5.5</v>
      </c>
      <c r="J409" s="284">
        <f t="shared" ref="J409" si="221">SUM(J407:J408)</f>
        <v>4.9000000000000004</v>
      </c>
      <c r="K409" s="284">
        <f t="shared" si="220"/>
        <v>4.9000000000000004</v>
      </c>
      <c r="L409" s="284">
        <f t="shared" si="220"/>
        <v>4.9000000000000004</v>
      </c>
      <c r="M409" s="284">
        <f t="shared" si="220"/>
        <v>4.9000000000000004</v>
      </c>
      <c r="N409" s="284">
        <f t="shared" si="220"/>
        <v>4.9000000000000004</v>
      </c>
      <c r="O409" s="284">
        <f t="shared" si="220"/>
        <v>4.9000000000000004</v>
      </c>
      <c r="P409" s="284">
        <f t="shared" si="220"/>
        <v>4.9000000000000004</v>
      </c>
      <c r="Q409" s="284">
        <f t="shared" si="220"/>
        <v>4.9000000000000004</v>
      </c>
      <c r="R409" s="284">
        <f t="shared" si="220"/>
        <v>4.9000000000000004</v>
      </c>
      <c r="S409" s="284">
        <f t="shared" si="220"/>
        <v>4.9000000000000004</v>
      </c>
      <c r="T409" s="284">
        <f t="shared" si="220"/>
        <v>4.9000000000000004</v>
      </c>
      <c r="U409" s="284">
        <f t="shared" si="220"/>
        <v>4.9000000000000004</v>
      </c>
      <c r="V409" s="284">
        <f t="shared" si="220"/>
        <v>4.9000000000000004</v>
      </c>
      <c r="W409" s="284">
        <f t="shared" si="220"/>
        <v>4.9000000000000004</v>
      </c>
      <c r="X409" s="284">
        <f t="shared" si="220"/>
        <v>4.9000000000000004</v>
      </c>
      <c r="Y409" s="284">
        <f t="shared" si="220"/>
        <v>4.9000000000000004</v>
      </c>
      <c r="Z409" s="284">
        <f t="shared" si="220"/>
        <v>4.9000000000000004</v>
      </c>
      <c r="AA409" s="284">
        <f t="shared" si="220"/>
        <v>4.9000000000000004</v>
      </c>
      <c r="AB409" s="284">
        <f t="shared" si="220"/>
        <v>4.9000000000000004</v>
      </c>
      <c r="AC409" s="284">
        <f t="shared" si="220"/>
        <v>4.9000000000000004</v>
      </c>
      <c r="AD409" s="284">
        <f t="shared" si="220"/>
        <v>4.9000000000000004</v>
      </c>
      <c r="AE409" s="284">
        <f t="shared" si="220"/>
        <v>4.9000000000000004</v>
      </c>
      <c r="AF409" s="284">
        <f t="shared" si="220"/>
        <v>4.9000000000000004</v>
      </c>
      <c r="AG409" s="284">
        <f t="shared" si="220"/>
        <v>4.9000000000000004</v>
      </c>
      <c r="AH409" s="284">
        <f t="shared" si="220"/>
        <v>4.9000000000000004</v>
      </c>
      <c r="AI409" s="284">
        <f t="shared" si="220"/>
        <v>4.9000000000000004</v>
      </c>
      <c r="AJ409" s="284">
        <f t="shared" si="220"/>
        <v>4.9000000000000004</v>
      </c>
      <c r="AK409" s="284">
        <f t="shared" si="220"/>
        <v>4.9000000000000004</v>
      </c>
      <c r="AL409" s="284">
        <f t="shared" si="220"/>
        <v>4.9000000000000004</v>
      </c>
    </row>
    <row r="410" spans="1:38" s="237" customFormat="1" outlineLevel="1" x14ac:dyDescent="0.2">
      <c r="A410" s="218"/>
      <c r="B410" s="272"/>
      <c r="C410" s="247"/>
      <c r="D410" s="273"/>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c r="AA410" s="288"/>
      <c r="AB410" s="288"/>
      <c r="AC410" s="288"/>
      <c r="AD410" s="288"/>
      <c r="AE410" s="288"/>
      <c r="AF410" s="288"/>
      <c r="AG410" s="288"/>
      <c r="AH410" s="288"/>
      <c r="AI410" s="288"/>
      <c r="AJ410" s="288"/>
      <c r="AK410" s="288"/>
      <c r="AL410" s="288"/>
    </row>
    <row r="411" spans="1:38" s="237" customFormat="1" outlineLevel="1" x14ac:dyDescent="0.2">
      <c r="B411" s="272" t="s">
        <v>236</v>
      </c>
      <c r="C411" s="247" t="s">
        <v>37</v>
      </c>
      <c r="D411" s="273"/>
      <c r="E411" s="288"/>
      <c r="F411" s="288"/>
      <c r="G411" s="288">
        <f t="shared" ref="G411:AL411" si="222">G399+G403+G405+G409</f>
        <v>6</v>
      </c>
      <c r="H411" s="288">
        <f t="shared" si="222"/>
        <v>38.9</v>
      </c>
      <c r="I411" s="288">
        <f t="shared" si="222"/>
        <v>39.299999999999997</v>
      </c>
      <c r="J411" s="288">
        <f t="shared" ref="J411" si="223">J399+J403+J405+J409</f>
        <v>38.699999999999996</v>
      </c>
      <c r="K411" s="288">
        <f t="shared" si="222"/>
        <v>38.699999999999996</v>
      </c>
      <c r="L411" s="288">
        <f t="shared" si="222"/>
        <v>38.699999999999996</v>
      </c>
      <c r="M411" s="288">
        <f t="shared" si="222"/>
        <v>38.699999999999996</v>
      </c>
      <c r="N411" s="288">
        <f t="shared" si="222"/>
        <v>38.699999999999996</v>
      </c>
      <c r="O411" s="288">
        <f t="shared" si="222"/>
        <v>38.699999999999996</v>
      </c>
      <c r="P411" s="288">
        <f t="shared" si="222"/>
        <v>38.699999999999996</v>
      </c>
      <c r="Q411" s="288">
        <f t="shared" si="222"/>
        <v>38.699999999999996</v>
      </c>
      <c r="R411" s="288">
        <f t="shared" si="222"/>
        <v>38.699999999999996</v>
      </c>
      <c r="S411" s="288">
        <f t="shared" si="222"/>
        <v>38.699999999999996</v>
      </c>
      <c r="T411" s="288">
        <f t="shared" si="222"/>
        <v>38.699999999999996</v>
      </c>
      <c r="U411" s="288">
        <f t="shared" si="222"/>
        <v>38.699999999999996</v>
      </c>
      <c r="V411" s="288">
        <f t="shared" si="222"/>
        <v>38.699999999999996</v>
      </c>
      <c r="W411" s="288">
        <f t="shared" si="222"/>
        <v>38.699999999999996</v>
      </c>
      <c r="X411" s="288">
        <f t="shared" si="222"/>
        <v>38.699999999999996</v>
      </c>
      <c r="Y411" s="288">
        <f t="shared" si="222"/>
        <v>38.699999999999996</v>
      </c>
      <c r="Z411" s="288">
        <f t="shared" si="222"/>
        <v>38.699999999999996</v>
      </c>
      <c r="AA411" s="288">
        <f t="shared" si="222"/>
        <v>38.699999999999996</v>
      </c>
      <c r="AB411" s="288">
        <f t="shared" si="222"/>
        <v>38.699999999999996</v>
      </c>
      <c r="AC411" s="288">
        <f t="shared" si="222"/>
        <v>38.699999999999996</v>
      </c>
      <c r="AD411" s="288">
        <f t="shared" si="222"/>
        <v>38.699999999999996</v>
      </c>
      <c r="AE411" s="288">
        <f t="shared" si="222"/>
        <v>38.699999999999996</v>
      </c>
      <c r="AF411" s="288">
        <f t="shared" si="222"/>
        <v>38.699999999999996</v>
      </c>
      <c r="AG411" s="288">
        <f t="shared" si="222"/>
        <v>38.699999999999996</v>
      </c>
      <c r="AH411" s="288">
        <f t="shared" si="222"/>
        <v>38.699999999999996</v>
      </c>
      <c r="AI411" s="288">
        <f t="shared" si="222"/>
        <v>38.699999999999996</v>
      </c>
      <c r="AJ411" s="288">
        <f t="shared" si="222"/>
        <v>38.699999999999996</v>
      </c>
      <c r="AK411" s="288">
        <f t="shared" si="222"/>
        <v>38.699999999999996</v>
      </c>
      <c r="AL411" s="288">
        <f t="shared" si="222"/>
        <v>38.699999999999996</v>
      </c>
    </row>
    <row r="412" spans="1:38" outlineLevel="1" x14ac:dyDescent="0.2">
      <c r="B412" s="295" t="s">
        <v>237</v>
      </c>
      <c r="C412" s="205" t="s">
        <v>37</v>
      </c>
      <c r="D412" s="294"/>
      <c r="E412" s="284"/>
      <c r="F412" s="284"/>
      <c r="G412" s="280">
        <v>-0.7</v>
      </c>
      <c r="H412" s="280">
        <f>-2.9-G412</f>
        <v>-2.2000000000000002</v>
      </c>
      <c r="I412" s="280">
        <v>-2.7</v>
      </c>
      <c r="J412" s="280">
        <f>-4.8-I412</f>
        <v>-2.0999999999999996</v>
      </c>
      <c r="K412" s="256">
        <f>(J411)*K414*(K$17/365)</f>
        <v>-1.8533589041095888</v>
      </c>
      <c r="L412" s="256">
        <f t="shared" ref="L412:AL412" si="224">(K411)*L414*(L$17/365)</f>
        <v>-1.8231410958904108</v>
      </c>
      <c r="M412" s="256">
        <f t="shared" si="224"/>
        <v>-1.8533589041095888</v>
      </c>
      <c r="N412" s="256">
        <f t="shared" si="224"/>
        <v>-1.8332136986301368</v>
      </c>
      <c r="O412" s="256">
        <f t="shared" si="224"/>
        <v>-1.8533589041095888</v>
      </c>
      <c r="P412" s="256">
        <f t="shared" si="224"/>
        <v>-1.8231410958904108</v>
      </c>
      <c r="Q412" s="256">
        <f t="shared" si="224"/>
        <v>-1.8533589041095888</v>
      </c>
      <c r="R412" s="256">
        <f t="shared" si="224"/>
        <v>-1.8231410958904108</v>
      </c>
      <c r="S412" s="256">
        <f t="shared" si="224"/>
        <v>-1.8533589041095888</v>
      </c>
      <c r="T412" s="256">
        <f t="shared" si="224"/>
        <v>-1.8231410958904108</v>
      </c>
      <c r="U412" s="256">
        <f t="shared" si="224"/>
        <v>-1.8533589041095888</v>
      </c>
      <c r="V412" s="256">
        <f t="shared" si="224"/>
        <v>-1.8332136986301368</v>
      </c>
      <c r="W412" s="256">
        <f t="shared" si="224"/>
        <v>-1.8533589041095888</v>
      </c>
      <c r="X412" s="256">
        <f t="shared" si="224"/>
        <v>-1.8231410958904108</v>
      </c>
      <c r="Y412" s="256">
        <f t="shared" si="224"/>
        <v>-1.8533589041095888</v>
      </c>
      <c r="Z412" s="256">
        <f t="shared" si="224"/>
        <v>-1.8231410958904108</v>
      </c>
      <c r="AA412" s="256">
        <f t="shared" si="224"/>
        <v>-1.8533589041095888</v>
      </c>
      <c r="AB412" s="256">
        <f t="shared" si="224"/>
        <v>-1.8231410958904108</v>
      </c>
      <c r="AC412" s="256">
        <f t="shared" si="224"/>
        <v>-1.8533589041095888</v>
      </c>
      <c r="AD412" s="256">
        <f t="shared" si="224"/>
        <v>-1.8332136986301368</v>
      </c>
      <c r="AE412" s="256">
        <f t="shared" si="224"/>
        <v>-1.8533589041095888</v>
      </c>
      <c r="AF412" s="256">
        <f t="shared" si="224"/>
        <v>-1.8231410958904108</v>
      </c>
      <c r="AG412" s="256">
        <f t="shared" si="224"/>
        <v>-1.8533589041095888</v>
      </c>
      <c r="AH412" s="256">
        <f t="shared" si="224"/>
        <v>-1.8231410958904108</v>
      </c>
      <c r="AI412" s="256">
        <f t="shared" si="224"/>
        <v>-1.8533589041095888</v>
      </c>
      <c r="AJ412" s="256">
        <f t="shared" si="224"/>
        <v>-1.8231410958904108</v>
      </c>
      <c r="AK412" s="256">
        <f t="shared" si="224"/>
        <v>-1.8533589041095888</v>
      </c>
      <c r="AL412" s="256">
        <f t="shared" si="224"/>
        <v>-1.8332136986301368</v>
      </c>
    </row>
    <row r="413" spans="1:38" s="595" customFormat="1" x14ac:dyDescent="0.2">
      <c r="B413" s="593" t="s">
        <v>45</v>
      </c>
      <c r="C413" s="594" t="s">
        <v>37</v>
      </c>
      <c r="E413" s="259"/>
      <c r="F413" s="259"/>
      <c r="G413" s="259"/>
      <c r="H413" s="259"/>
      <c r="I413" s="259">
        <f>SUMIFS(QTR!$E61:$CB61,QTR!$E$9:$CB$9,I$13)</f>
        <v>-1.8667</v>
      </c>
      <c r="J413" s="259">
        <f>SUMIFS(QTR!$E61:$CB61,QTR!$E$9:$CB$9,J$13)</f>
        <v>-1.6587999999999998</v>
      </c>
      <c r="K413" s="259">
        <f>SUMIFS(QTR!$E61:$CB61,QTR!$E$9:$CB$9,K$13)</f>
        <v>0</v>
      </c>
      <c r="L413" s="259">
        <f>SUMIFS(QTR!$E61:$CB61,QTR!$E$9:$CB$9,L$13)</f>
        <v>0</v>
      </c>
      <c r="M413" s="259">
        <f>SUMIFS(QTR!$E61:$CB61,QTR!$E$9:$CB$9,M$13)</f>
        <v>0</v>
      </c>
      <c r="N413" s="259">
        <f>SUMIFS(QTR!$E61:$CB61,QTR!$E$9:$CB$9,N$13)</f>
        <v>0</v>
      </c>
      <c r="O413" s="259">
        <f>SUMIFS(QTR!$E61:$CB61,QTR!$E$9:$CB$9,O$13)</f>
        <v>0</v>
      </c>
      <c r="P413" s="259">
        <f>SUMIFS(QTR!$E61:$CB61,QTR!$E$9:$CB$9,P$13)</f>
        <v>0</v>
      </c>
      <c r="Q413" s="259">
        <f>SUMIFS(QTR!$E61:$CB61,QTR!$E$9:$CB$9,Q$13)</f>
        <v>0</v>
      </c>
      <c r="R413" s="259">
        <f>SUMIFS(QTR!$E61:$CB61,QTR!$E$9:$CB$9,R$13)</f>
        <v>0</v>
      </c>
      <c r="S413" s="259">
        <f>SUMIFS(QTR!$E61:$CB61,QTR!$E$9:$CB$9,S$13)</f>
        <v>0</v>
      </c>
      <c r="T413" s="259">
        <f>SUMIFS(QTR!$E61:$CB61,QTR!$E$9:$CB$9,T$13)</f>
        <v>0</v>
      </c>
      <c r="U413" s="259">
        <f>SUMIFS(QTR!$E61:$CB61,QTR!$E$9:$CB$9,U$13)</f>
        <v>0</v>
      </c>
      <c r="V413" s="259">
        <f>SUMIFS(QTR!$E61:$CB61,QTR!$E$9:$CB$9,V$13)</f>
        <v>0</v>
      </c>
      <c r="W413" s="259">
        <f>SUMIFS(QTR!$E61:$CB61,QTR!$E$9:$CB$9,W$13)</f>
        <v>0</v>
      </c>
      <c r="X413" s="259">
        <f>SUMIFS(QTR!$E61:$CB61,QTR!$E$9:$CB$9,X$13)</f>
        <v>0</v>
      </c>
      <c r="Y413" s="259">
        <f>SUMIFS(QTR!$E61:$CB61,QTR!$E$9:$CB$9,Y$13)</f>
        <v>0</v>
      </c>
      <c r="Z413" s="259">
        <f>SUMIFS(QTR!$E61:$CB61,QTR!$E$9:$CB$9,Z$13)</f>
        <v>0</v>
      </c>
      <c r="AA413" s="259">
        <f>SUMIFS(QTR!$E61:$CB61,QTR!$E$9:$CB$9,AA$13)</f>
        <v>0</v>
      </c>
      <c r="AB413" s="259">
        <f>SUMIFS(QTR!$E61:$CB61,QTR!$E$9:$CB$9,AB$13)</f>
        <v>0</v>
      </c>
      <c r="AC413" s="259">
        <f>SUMIFS(QTR!$E61:$CB61,QTR!$E$9:$CB$9,AC$13)</f>
        <v>0</v>
      </c>
      <c r="AD413" s="259">
        <f>SUMIFS(QTR!$E61:$CB61,QTR!$E$9:$CB$9,AD$13)</f>
        <v>0</v>
      </c>
      <c r="AE413" s="259">
        <f>SUMIFS(QTR!$E61:$CB61,QTR!$E$9:$CB$9,AE$13)</f>
        <v>0</v>
      </c>
      <c r="AF413" s="259">
        <f>SUMIFS(QTR!$E61:$CB61,QTR!$E$9:$CB$9,AF$13)</f>
        <v>0</v>
      </c>
      <c r="AG413" s="259">
        <f>SUMIFS(QTR!$E61:$CB61,QTR!$E$9:$CB$9,AG$13)</f>
        <v>0</v>
      </c>
      <c r="AH413" s="259">
        <f>SUMIFS(QTR!$E61:$CB61,QTR!$E$9:$CB$9,AH$13)</f>
        <v>0</v>
      </c>
      <c r="AI413" s="259">
        <f>SUMIFS(QTR!$E61:$CB61,QTR!$E$9:$CB$9,AI$13)</f>
        <v>0</v>
      </c>
      <c r="AJ413" s="259">
        <f>SUMIFS(QTR!$E61:$CB61,QTR!$E$9:$CB$9,AJ$13)</f>
        <v>0</v>
      </c>
      <c r="AK413" s="259">
        <f>SUMIFS(QTR!$E61:$CB61,QTR!$E$9:$CB$9,AK$13)</f>
        <v>0</v>
      </c>
      <c r="AL413" s="259">
        <f>SUMIFS(QTR!$E61:$CB61,QTR!$E$9:$CB$9,AL$13)</f>
        <v>0</v>
      </c>
    </row>
    <row r="414" spans="1:38" outlineLevel="1" x14ac:dyDescent="0.2">
      <c r="B414" s="295" t="s">
        <v>238</v>
      </c>
      <c r="C414" s="205" t="s">
        <v>39</v>
      </c>
      <c r="D414" s="294"/>
      <c r="E414" s="281"/>
      <c r="F414" s="281"/>
      <c r="G414" s="281"/>
      <c r="H414" s="281"/>
      <c r="I414" s="281">
        <f>I412/H411*2</f>
        <v>-0.13881748071979436</v>
      </c>
      <c r="J414" s="281">
        <f>J412/I411*2</f>
        <v>-0.10687022900763357</v>
      </c>
      <c r="K414" s="548">
        <v>-9.5000000000000001E-2</v>
      </c>
      <c r="L414" s="282">
        <f t="shared" ref="L414:AL414" si="225">K414</f>
        <v>-9.5000000000000001E-2</v>
      </c>
      <c r="M414" s="282">
        <f t="shared" si="225"/>
        <v>-9.5000000000000001E-2</v>
      </c>
      <c r="N414" s="282">
        <f t="shared" si="225"/>
        <v>-9.5000000000000001E-2</v>
      </c>
      <c r="O414" s="282">
        <f t="shared" si="225"/>
        <v>-9.5000000000000001E-2</v>
      </c>
      <c r="P414" s="282">
        <f t="shared" si="225"/>
        <v>-9.5000000000000001E-2</v>
      </c>
      <c r="Q414" s="282">
        <f t="shared" si="225"/>
        <v>-9.5000000000000001E-2</v>
      </c>
      <c r="R414" s="282">
        <f t="shared" si="225"/>
        <v>-9.5000000000000001E-2</v>
      </c>
      <c r="S414" s="282">
        <f t="shared" si="225"/>
        <v>-9.5000000000000001E-2</v>
      </c>
      <c r="T414" s="282">
        <f t="shared" si="225"/>
        <v>-9.5000000000000001E-2</v>
      </c>
      <c r="U414" s="282">
        <f t="shared" si="225"/>
        <v>-9.5000000000000001E-2</v>
      </c>
      <c r="V414" s="282">
        <f t="shared" si="225"/>
        <v>-9.5000000000000001E-2</v>
      </c>
      <c r="W414" s="282">
        <f t="shared" si="225"/>
        <v>-9.5000000000000001E-2</v>
      </c>
      <c r="X414" s="282">
        <f t="shared" si="225"/>
        <v>-9.5000000000000001E-2</v>
      </c>
      <c r="Y414" s="282">
        <f t="shared" si="225"/>
        <v>-9.5000000000000001E-2</v>
      </c>
      <c r="Z414" s="282">
        <f t="shared" si="225"/>
        <v>-9.5000000000000001E-2</v>
      </c>
      <c r="AA414" s="282">
        <f t="shared" si="225"/>
        <v>-9.5000000000000001E-2</v>
      </c>
      <c r="AB414" s="282">
        <f t="shared" si="225"/>
        <v>-9.5000000000000001E-2</v>
      </c>
      <c r="AC414" s="282">
        <f t="shared" si="225"/>
        <v>-9.5000000000000001E-2</v>
      </c>
      <c r="AD414" s="282">
        <f t="shared" si="225"/>
        <v>-9.5000000000000001E-2</v>
      </c>
      <c r="AE414" s="282">
        <f t="shared" si="225"/>
        <v>-9.5000000000000001E-2</v>
      </c>
      <c r="AF414" s="282">
        <f t="shared" si="225"/>
        <v>-9.5000000000000001E-2</v>
      </c>
      <c r="AG414" s="282">
        <f t="shared" si="225"/>
        <v>-9.5000000000000001E-2</v>
      </c>
      <c r="AH414" s="282">
        <f t="shared" si="225"/>
        <v>-9.5000000000000001E-2</v>
      </c>
      <c r="AI414" s="282">
        <f t="shared" si="225"/>
        <v>-9.5000000000000001E-2</v>
      </c>
      <c r="AJ414" s="282">
        <f t="shared" si="225"/>
        <v>-9.5000000000000001E-2</v>
      </c>
      <c r="AK414" s="282">
        <f t="shared" si="225"/>
        <v>-9.5000000000000001E-2</v>
      </c>
      <c r="AL414" s="282">
        <f t="shared" si="225"/>
        <v>-9.5000000000000001E-2</v>
      </c>
    </row>
    <row r="415" spans="1:38" outlineLevel="1" x14ac:dyDescent="0.2">
      <c r="B415" s="295"/>
      <c r="D415" s="294"/>
      <c r="E415" s="281"/>
      <c r="F415" s="281"/>
      <c r="G415" s="281"/>
      <c r="H415" s="281"/>
      <c r="I415" s="281"/>
      <c r="J415" s="281"/>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row>
    <row r="416" spans="1:38" outlineLevel="1" x14ac:dyDescent="0.2">
      <c r="B416" s="246" t="s">
        <v>239</v>
      </c>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row>
    <row r="417" spans="1:38" outlineLevel="1" x14ac:dyDescent="0.2">
      <c r="B417" s="263" t="s">
        <v>240</v>
      </c>
      <c r="C417" s="205" t="s">
        <v>37</v>
      </c>
      <c r="E417" s="284"/>
      <c r="F417" s="284"/>
      <c r="G417" s="284">
        <f t="shared" ref="G417:AL417" si="226">G289</f>
        <v>16</v>
      </c>
      <c r="H417" s="284">
        <f t="shared" si="226"/>
        <v>104.9</v>
      </c>
      <c r="I417" s="284">
        <f t="shared" si="226"/>
        <v>40.799999999999997</v>
      </c>
      <c r="J417" s="284">
        <f t="shared" si="226"/>
        <v>27.6</v>
      </c>
      <c r="K417" s="284">
        <f t="shared" si="226"/>
        <v>26.892555806497558</v>
      </c>
      <c r="L417" s="284">
        <f t="shared" si="226"/>
        <v>29.338569229590878</v>
      </c>
      <c r="M417" s="284">
        <f t="shared" si="226"/>
        <v>31.939783849415459</v>
      </c>
      <c r="N417" s="284">
        <f t="shared" si="226"/>
        <v>35.835070516634943</v>
      </c>
      <c r="O417" s="284">
        <f t="shared" si="226"/>
        <v>40.032624768013811</v>
      </c>
      <c r="P417" s="284">
        <f t="shared" si="226"/>
        <v>45.075051409491252</v>
      </c>
      <c r="Q417" s="284">
        <f t="shared" si="226"/>
        <v>51.174293313388176</v>
      </c>
      <c r="R417" s="284">
        <f t="shared" si="226"/>
        <v>57.029758684486303</v>
      </c>
      <c r="S417" s="284">
        <f t="shared" si="226"/>
        <v>63.893465743987569</v>
      </c>
      <c r="T417" s="284">
        <f t="shared" si="226"/>
        <v>70.504095236106579</v>
      </c>
      <c r="U417" s="284">
        <f t="shared" si="226"/>
        <v>77.798861657977525</v>
      </c>
      <c r="V417" s="284">
        <f t="shared" si="226"/>
        <v>84.828307149279439</v>
      </c>
      <c r="W417" s="284">
        <f t="shared" si="226"/>
        <v>92.588693032276993</v>
      </c>
      <c r="X417" s="284">
        <f t="shared" si="226"/>
        <v>100.07804561677837</v>
      </c>
      <c r="Y417" s="284">
        <f t="shared" si="226"/>
        <v>108.33818713012715</v>
      </c>
      <c r="Z417" s="284">
        <f t="shared" si="226"/>
        <v>116.31607461411772</v>
      </c>
      <c r="AA417" s="284">
        <f t="shared" si="226"/>
        <v>125.11003662074853</v>
      </c>
      <c r="AB417" s="284">
        <f t="shared" si="226"/>
        <v>133.60920232199746</v>
      </c>
      <c r="AC417" s="284">
        <f t="shared" si="226"/>
        <v>142.97137166968815</v>
      </c>
      <c r="AD417" s="284">
        <f t="shared" si="226"/>
        <v>152.02340019042907</v>
      </c>
      <c r="AE417" s="284">
        <f t="shared" si="226"/>
        <v>161.98878255319909</v>
      </c>
      <c r="AF417" s="284">
        <f t="shared" si="226"/>
        <v>171.63063761402185</v>
      </c>
      <c r="AG417" s="284">
        <f t="shared" si="226"/>
        <v>182.23515396331729</v>
      </c>
      <c r="AH417" s="284">
        <f t="shared" si="226"/>
        <v>192.50005066612897</v>
      </c>
      <c r="AI417" s="284">
        <f t="shared" si="226"/>
        <v>203.78073348367246</v>
      </c>
      <c r="AJ417" s="284">
        <f t="shared" si="226"/>
        <v>214.70458484366776</v>
      </c>
      <c r="AK417" s="284">
        <f t="shared" si="226"/>
        <v>226.69979179878885</v>
      </c>
      <c r="AL417" s="284">
        <f t="shared" si="226"/>
        <v>238.32148507476333</v>
      </c>
    </row>
    <row r="418" spans="1:38" outlineLevel="1" x14ac:dyDescent="0.2">
      <c r="B418" s="263" t="s">
        <v>241</v>
      </c>
      <c r="C418" s="205" t="s">
        <v>37</v>
      </c>
      <c r="D418" s="294"/>
      <c r="E418" s="297"/>
      <c r="F418" s="297"/>
      <c r="G418" s="280">
        <v>0.1</v>
      </c>
      <c r="H418" s="280">
        <f>0.3-G418</f>
        <v>0.19999999999999998</v>
      </c>
      <c r="I418" s="280">
        <v>1.2</v>
      </c>
      <c r="J418" s="280">
        <f>1.2-I418</f>
        <v>0</v>
      </c>
      <c r="K418" s="256">
        <f t="shared" ref="K418:AL418" si="227">(J417)*K419*(K$17/365)</f>
        <v>0.27826849315068497</v>
      </c>
      <c r="L418" s="256">
        <f t="shared" si="227"/>
        <v>0.26671521101238677</v>
      </c>
      <c r="M418" s="256">
        <f t="shared" si="227"/>
        <v>0.29579708154765599</v>
      </c>
      <c r="N418" s="256">
        <f t="shared" si="227"/>
        <v>0.31852277592293776</v>
      </c>
      <c r="O418" s="256">
        <f t="shared" si="227"/>
        <v>0.3612960534279907</v>
      </c>
      <c r="P418" s="256">
        <f t="shared" si="227"/>
        <v>0.3970358949594795</v>
      </c>
      <c r="Q418" s="256">
        <f t="shared" si="227"/>
        <v>0.45445531284089813</v>
      </c>
      <c r="R418" s="256">
        <f t="shared" si="227"/>
        <v>0.50753682683415124</v>
      </c>
      <c r="S418" s="256">
        <f t="shared" si="227"/>
        <v>0.57498496427098533</v>
      </c>
      <c r="T418" s="256">
        <f t="shared" si="227"/>
        <v>0.63368313970749313</v>
      </c>
      <c r="U418" s="256">
        <f t="shared" si="227"/>
        <v>0.71083580950375957</v>
      </c>
      <c r="V418" s="256">
        <f t="shared" si="227"/>
        <v>0.77585714091791291</v>
      </c>
      <c r="W418" s="256">
        <f t="shared" si="227"/>
        <v>0.8552552611215023</v>
      </c>
      <c r="X418" s="256">
        <f t="shared" si="227"/>
        <v>0.91827690075847324</v>
      </c>
      <c r="Y418" s="256">
        <f t="shared" si="227"/>
        <v>1.009006048958204</v>
      </c>
      <c r="Z418" s="256">
        <f t="shared" si="227"/>
        <v>1.0744773627700281</v>
      </c>
      <c r="AA418" s="256">
        <f t="shared" si="227"/>
        <v>1.1727209714519267</v>
      </c>
      <c r="AB418" s="256">
        <f t="shared" si="227"/>
        <v>1.2408173494989307</v>
      </c>
      <c r="AC418" s="256">
        <f t="shared" si="227"/>
        <v>1.3470736014930156</v>
      </c>
      <c r="AD418" s="256">
        <f t="shared" si="227"/>
        <v>1.4257966928155204</v>
      </c>
      <c r="AE418" s="256">
        <f t="shared" si="227"/>
        <v>1.5327290758925454</v>
      </c>
      <c r="AF418" s="256">
        <f t="shared" si="227"/>
        <v>1.606573679020769</v>
      </c>
      <c r="AG418" s="256">
        <f t="shared" si="227"/>
        <v>1.7304130038893164</v>
      </c>
      <c r="AH418" s="256">
        <f t="shared" si="227"/>
        <v>1.8073733078005716</v>
      </c>
      <c r="AI418" s="256">
        <f t="shared" si="227"/>
        <v>1.9408224286338485</v>
      </c>
      <c r="AJ418" s="256">
        <f t="shared" si="227"/>
        <v>2.0210582334545051</v>
      </c>
      <c r="AK418" s="256">
        <f t="shared" si="227"/>
        <v>2.1646928006156094</v>
      </c>
      <c r="AL418" s="256">
        <f t="shared" si="227"/>
        <v>2.260786964787922</v>
      </c>
    </row>
    <row r="419" spans="1:38" outlineLevel="1" x14ac:dyDescent="0.2">
      <c r="B419" s="295" t="s">
        <v>238</v>
      </c>
      <c r="C419" s="205" t="s">
        <v>39</v>
      </c>
      <c r="D419" s="294"/>
      <c r="E419" s="281"/>
      <c r="F419" s="281"/>
      <c r="G419" s="281"/>
      <c r="H419" s="281"/>
      <c r="I419" s="281">
        <f>I418/H417*2</f>
        <v>2.2878932316491896E-2</v>
      </c>
      <c r="J419" s="281">
        <f>J418/I417*2</f>
        <v>0</v>
      </c>
      <c r="K419" s="548">
        <v>0.02</v>
      </c>
      <c r="L419" s="282">
        <f t="shared" ref="L419:AL419" si="228">K419</f>
        <v>0.02</v>
      </c>
      <c r="M419" s="282">
        <f t="shared" si="228"/>
        <v>0.02</v>
      </c>
      <c r="N419" s="282">
        <f t="shared" si="228"/>
        <v>0.02</v>
      </c>
      <c r="O419" s="282">
        <f t="shared" si="228"/>
        <v>0.02</v>
      </c>
      <c r="P419" s="282">
        <f t="shared" si="228"/>
        <v>0.02</v>
      </c>
      <c r="Q419" s="282">
        <f t="shared" si="228"/>
        <v>0.02</v>
      </c>
      <c r="R419" s="282">
        <f t="shared" si="228"/>
        <v>0.02</v>
      </c>
      <c r="S419" s="282">
        <f t="shared" si="228"/>
        <v>0.02</v>
      </c>
      <c r="T419" s="282">
        <f t="shared" si="228"/>
        <v>0.02</v>
      </c>
      <c r="U419" s="282">
        <f t="shared" si="228"/>
        <v>0.02</v>
      </c>
      <c r="V419" s="282">
        <f t="shared" si="228"/>
        <v>0.02</v>
      </c>
      <c r="W419" s="282">
        <f t="shared" si="228"/>
        <v>0.02</v>
      </c>
      <c r="X419" s="282">
        <f t="shared" si="228"/>
        <v>0.02</v>
      </c>
      <c r="Y419" s="282">
        <f t="shared" si="228"/>
        <v>0.02</v>
      </c>
      <c r="Z419" s="282">
        <f t="shared" si="228"/>
        <v>0.02</v>
      </c>
      <c r="AA419" s="282">
        <f t="shared" si="228"/>
        <v>0.02</v>
      </c>
      <c r="AB419" s="282">
        <f t="shared" si="228"/>
        <v>0.02</v>
      </c>
      <c r="AC419" s="282">
        <f t="shared" si="228"/>
        <v>0.02</v>
      </c>
      <c r="AD419" s="282">
        <f t="shared" si="228"/>
        <v>0.02</v>
      </c>
      <c r="AE419" s="282">
        <f t="shared" si="228"/>
        <v>0.02</v>
      </c>
      <c r="AF419" s="282">
        <f t="shared" si="228"/>
        <v>0.02</v>
      </c>
      <c r="AG419" s="282">
        <f t="shared" si="228"/>
        <v>0.02</v>
      </c>
      <c r="AH419" s="282">
        <f t="shared" si="228"/>
        <v>0.02</v>
      </c>
      <c r="AI419" s="282">
        <f t="shared" si="228"/>
        <v>0.02</v>
      </c>
      <c r="AJ419" s="282">
        <f t="shared" si="228"/>
        <v>0.02</v>
      </c>
      <c r="AK419" s="282">
        <f t="shared" si="228"/>
        <v>0.02</v>
      </c>
      <c r="AL419" s="282">
        <f t="shared" si="228"/>
        <v>0.02</v>
      </c>
    </row>
    <row r="420" spans="1:38" s="595" customFormat="1" x14ac:dyDescent="0.2">
      <c r="B420" s="593" t="s">
        <v>45</v>
      </c>
      <c r="C420" s="594" t="s">
        <v>37</v>
      </c>
      <c r="E420" s="259"/>
      <c r="F420" s="259"/>
      <c r="G420" s="259"/>
      <c r="H420" s="259"/>
      <c r="I420" s="259">
        <f>SUMIFS(QTR!$E60:$CB60,QTR!$E$9:$CB$9,I$13)</f>
        <v>1.2239</v>
      </c>
      <c r="J420" s="259">
        <f>SUMIFS(QTR!$E60:$CB60,QTR!$E$9:$CB$9,J$13)</f>
        <v>3.9199999999999999E-2</v>
      </c>
      <c r="K420" s="259">
        <f>SUMIFS(QTR!$E60:$CB60,QTR!$E$9:$CB$9,K$13)</f>
        <v>0</v>
      </c>
      <c r="L420" s="259">
        <f>SUMIFS(QTR!$E60:$CB60,QTR!$E$9:$CB$9,L$13)</f>
        <v>0</v>
      </c>
      <c r="M420" s="259">
        <f>SUMIFS(QTR!$E60:$CB60,QTR!$E$9:$CB$9,M$13)</f>
        <v>0</v>
      </c>
      <c r="N420" s="259">
        <f>SUMIFS(QTR!$E60:$CB60,QTR!$E$9:$CB$9,N$13)</f>
        <v>0</v>
      </c>
      <c r="O420" s="259">
        <f>SUMIFS(QTR!$E60:$CB60,QTR!$E$9:$CB$9,O$13)</f>
        <v>0</v>
      </c>
      <c r="P420" s="259">
        <f>SUMIFS(QTR!$E60:$CB60,QTR!$E$9:$CB$9,P$13)</f>
        <v>0</v>
      </c>
      <c r="Q420" s="259">
        <f>SUMIFS(QTR!$E60:$CB60,QTR!$E$9:$CB$9,Q$13)</f>
        <v>0</v>
      </c>
      <c r="R420" s="259">
        <f>SUMIFS(QTR!$E60:$CB60,QTR!$E$9:$CB$9,R$13)</f>
        <v>0</v>
      </c>
      <c r="S420" s="259">
        <f>SUMIFS(QTR!$E60:$CB60,QTR!$E$9:$CB$9,S$13)</f>
        <v>0</v>
      </c>
      <c r="T420" s="259">
        <f>SUMIFS(QTR!$E60:$CB60,QTR!$E$9:$CB$9,T$13)</f>
        <v>0</v>
      </c>
      <c r="U420" s="259">
        <f>SUMIFS(QTR!$E60:$CB60,QTR!$E$9:$CB$9,U$13)</f>
        <v>0</v>
      </c>
      <c r="V420" s="259">
        <f>SUMIFS(QTR!$E60:$CB60,QTR!$E$9:$CB$9,V$13)</f>
        <v>0</v>
      </c>
      <c r="W420" s="259">
        <f>SUMIFS(QTR!$E60:$CB60,QTR!$E$9:$CB$9,W$13)</f>
        <v>0</v>
      </c>
      <c r="X420" s="259">
        <f>SUMIFS(QTR!$E60:$CB60,QTR!$E$9:$CB$9,X$13)</f>
        <v>0</v>
      </c>
      <c r="Y420" s="259">
        <f>SUMIFS(QTR!$E60:$CB60,QTR!$E$9:$CB$9,Y$13)</f>
        <v>0</v>
      </c>
      <c r="Z420" s="259">
        <f>SUMIFS(QTR!$E60:$CB60,QTR!$E$9:$CB$9,Z$13)</f>
        <v>0</v>
      </c>
      <c r="AA420" s="259">
        <f>SUMIFS(QTR!$E60:$CB60,QTR!$E$9:$CB$9,AA$13)</f>
        <v>0</v>
      </c>
      <c r="AB420" s="259">
        <f>SUMIFS(QTR!$E60:$CB60,QTR!$E$9:$CB$9,AB$13)</f>
        <v>0</v>
      </c>
      <c r="AC420" s="259">
        <f>SUMIFS(QTR!$E60:$CB60,QTR!$E$9:$CB$9,AC$13)</f>
        <v>0</v>
      </c>
      <c r="AD420" s="259">
        <f>SUMIFS(QTR!$E60:$CB60,QTR!$E$9:$CB$9,AD$13)</f>
        <v>0</v>
      </c>
      <c r="AE420" s="259">
        <f>SUMIFS(QTR!$E60:$CB60,QTR!$E$9:$CB$9,AE$13)</f>
        <v>0</v>
      </c>
      <c r="AF420" s="259">
        <f>SUMIFS(QTR!$E60:$CB60,QTR!$E$9:$CB$9,AF$13)</f>
        <v>0</v>
      </c>
      <c r="AG420" s="259">
        <f>SUMIFS(QTR!$E60:$CB60,QTR!$E$9:$CB$9,AG$13)</f>
        <v>0</v>
      </c>
      <c r="AH420" s="259">
        <f>SUMIFS(QTR!$E60:$CB60,QTR!$E$9:$CB$9,AH$13)</f>
        <v>0</v>
      </c>
      <c r="AI420" s="259">
        <f>SUMIFS(QTR!$E60:$CB60,QTR!$E$9:$CB$9,AI$13)</f>
        <v>0</v>
      </c>
      <c r="AJ420" s="259">
        <f>SUMIFS(QTR!$E60:$CB60,QTR!$E$9:$CB$9,AJ$13)</f>
        <v>0</v>
      </c>
      <c r="AK420" s="259">
        <f>SUMIFS(QTR!$E60:$CB60,QTR!$E$9:$CB$9,AK$13)</f>
        <v>0</v>
      </c>
      <c r="AL420" s="259">
        <f>SUMIFS(QTR!$E60:$CB60,QTR!$E$9:$CB$9,AL$13)</f>
        <v>0</v>
      </c>
    </row>
    <row r="421" spans="1:38" outlineLevel="1" x14ac:dyDescent="0.2">
      <c r="D421" s="294"/>
    </row>
    <row r="422" spans="1:38" outlineLevel="1" x14ac:dyDescent="0.2">
      <c r="B422" s="246" t="s">
        <v>242</v>
      </c>
      <c r="D422" s="294"/>
      <c r="E422" s="231"/>
      <c r="F422" s="231"/>
      <c r="G422" s="231"/>
      <c r="H422" s="231"/>
      <c r="I422" s="231"/>
    </row>
    <row r="423" spans="1:38" outlineLevel="1" x14ac:dyDescent="0.2">
      <c r="B423" s="263" t="s">
        <v>1346</v>
      </c>
      <c r="C423" s="205" t="s">
        <v>37</v>
      </c>
      <c r="D423" s="294"/>
      <c r="E423" s="284"/>
      <c r="F423" s="284"/>
      <c r="G423" s="284">
        <f>G121</f>
        <v>-0.19999999999999998</v>
      </c>
      <c r="H423" s="284">
        <f t="shared" ref="H423:J423" si="229">H121</f>
        <v>-2.7</v>
      </c>
      <c r="I423" s="284">
        <f t="shared" si="229"/>
        <v>0.29999999999999993</v>
      </c>
      <c r="J423" s="284">
        <f t="shared" si="229"/>
        <v>-1.1000000000000001</v>
      </c>
      <c r="K423" s="256">
        <f>K424</f>
        <v>-1.5750904109589039</v>
      </c>
      <c r="L423" s="256">
        <f t="shared" ref="L423:AL423" si="230">L424</f>
        <v>-1.5564258848780241</v>
      </c>
      <c r="M423" s="256">
        <f t="shared" si="230"/>
        <v>-1.5575618225619328</v>
      </c>
      <c r="N423" s="256">
        <f t="shared" si="230"/>
        <v>-1.514690922707199</v>
      </c>
      <c r="O423" s="256">
        <f t="shared" si="230"/>
        <v>-1.4920628506815981</v>
      </c>
      <c r="P423" s="256">
        <f t="shared" si="230"/>
        <v>-1.4261052009309314</v>
      </c>
      <c r="Q423" s="256">
        <f t="shared" si="230"/>
        <v>-1.3989035912686907</v>
      </c>
      <c r="R423" s="256">
        <f t="shared" si="230"/>
        <v>-1.3156042690562595</v>
      </c>
      <c r="S423" s="256">
        <f t="shared" si="230"/>
        <v>-1.2783739398386036</v>
      </c>
      <c r="T423" s="256">
        <f t="shared" si="230"/>
        <v>-1.1894579561829177</v>
      </c>
      <c r="U423" s="256">
        <f t="shared" si="230"/>
        <v>-1.1425230946058291</v>
      </c>
      <c r="V423" s="256">
        <f t="shared" si="230"/>
        <v>-1.0573565577122239</v>
      </c>
      <c r="W423" s="256">
        <f t="shared" si="230"/>
        <v>-0.99810364298808651</v>
      </c>
      <c r="X423" s="256">
        <f t="shared" si="230"/>
        <v>-0.90486419513193761</v>
      </c>
      <c r="Y423" s="256">
        <f t="shared" si="230"/>
        <v>-0.84435285515138481</v>
      </c>
      <c r="Z423" s="256">
        <f t="shared" si="230"/>
        <v>-0.7486637331203827</v>
      </c>
      <c r="AA423" s="256">
        <f t="shared" si="230"/>
        <v>-0.68063793265766215</v>
      </c>
      <c r="AB423" s="256">
        <f t="shared" si="230"/>
        <v>-0.5823237463914801</v>
      </c>
      <c r="AC423" s="256">
        <f t="shared" si="230"/>
        <v>-0.50628530261657323</v>
      </c>
      <c r="AD423" s="256">
        <f t="shared" si="230"/>
        <v>-0.40741700581461648</v>
      </c>
      <c r="AE423" s="256">
        <f t="shared" si="230"/>
        <v>-0.32062982821704344</v>
      </c>
      <c r="AF423" s="256">
        <f t="shared" si="230"/>
        <v>-0.21656741686964187</v>
      </c>
      <c r="AG423" s="256">
        <f t="shared" si="230"/>
        <v>-0.12294590022027241</v>
      </c>
      <c r="AH423" s="256">
        <f t="shared" si="230"/>
        <v>-1.5767788089839252E-2</v>
      </c>
      <c r="AI423" s="256">
        <f t="shared" si="230"/>
        <v>8.746352452425965E-2</v>
      </c>
      <c r="AJ423" s="256">
        <f t="shared" si="230"/>
        <v>0.19791713756409424</v>
      </c>
      <c r="AK423" s="256">
        <f t="shared" si="230"/>
        <v>0.31133389650602061</v>
      </c>
      <c r="AL423" s="256">
        <f t="shared" si="230"/>
        <v>0.42757326615778513</v>
      </c>
    </row>
    <row r="424" spans="1:38" x14ac:dyDescent="0.2">
      <c r="B424" s="263" t="s">
        <v>1347</v>
      </c>
      <c r="C424" s="205" t="s">
        <v>37</v>
      </c>
      <c r="G424" s="236">
        <v>-0.6</v>
      </c>
      <c r="H424" s="236">
        <f>-2.6-G424</f>
        <v>-2</v>
      </c>
      <c r="I424" s="236">
        <v>-1.5</v>
      </c>
      <c r="J424" s="236">
        <f>-3.5-I424</f>
        <v>-2</v>
      </c>
      <c r="K424" s="284">
        <f t="shared" ref="K424:AL424" si="231">K412+K418</f>
        <v>-1.5750904109589039</v>
      </c>
      <c r="L424" s="284">
        <f t="shared" si="231"/>
        <v>-1.5564258848780241</v>
      </c>
      <c r="M424" s="284">
        <f t="shared" si="231"/>
        <v>-1.5575618225619328</v>
      </c>
      <c r="N424" s="284">
        <f t="shared" si="231"/>
        <v>-1.514690922707199</v>
      </c>
      <c r="O424" s="284">
        <f t="shared" si="231"/>
        <v>-1.4920628506815981</v>
      </c>
      <c r="P424" s="284">
        <f t="shared" si="231"/>
        <v>-1.4261052009309314</v>
      </c>
      <c r="Q424" s="284">
        <f t="shared" si="231"/>
        <v>-1.3989035912686907</v>
      </c>
      <c r="R424" s="284">
        <f t="shared" si="231"/>
        <v>-1.3156042690562595</v>
      </c>
      <c r="S424" s="284">
        <f t="shared" si="231"/>
        <v>-1.2783739398386036</v>
      </c>
      <c r="T424" s="284">
        <f t="shared" si="231"/>
        <v>-1.1894579561829177</v>
      </c>
      <c r="U424" s="284">
        <f t="shared" si="231"/>
        <v>-1.1425230946058291</v>
      </c>
      <c r="V424" s="284">
        <f t="shared" si="231"/>
        <v>-1.0573565577122239</v>
      </c>
      <c r="W424" s="284">
        <f t="shared" si="231"/>
        <v>-0.99810364298808651</v>
      </c>
      <c r="X424" s="284">
        <f t="shared" si="231"/>
        <v>-0.90486419513193761</v>
      </c>
      <c r="Y424" s="284">
        <f t="shared" si="231"/>
        <v>-0.84435285515138481</v>
      </c>
      <c r="Z424" s="284">
        <f t="shared" si="231"/>
        <v>-0.7486637331203827</v>
      </c>
      <c r="AA424" s="284">
        <f t="shared" si="231"/>
        <v>-0.68063793265766215</v>
      </c>
      <c r="AB424" s="284">
        <f t="shared" si="231"/>
        <v>-0.5823237463914801</v>
      </c>
      <c r="AC424" s="284">
        <f t="shared" si="231"/>
        <v>-0.50628530261657323</v>
      </c>
      <c r="AD424" s="284">
        <f t="shared" si="231"/>
        <v>-0.40741700581461648</v>
      </c>
      <c r="AE424" s="284">
        <f t="shared" si="231"/>
        <v>-0.32062982821704344</v>
      </c>
      <c r="AF424" s="284">
        <f t="shared" si="231"/>
        <v>-0.21656741686964187</v>
      </c>
      <c r="AG424" s="284">
        <f t="shared" si="231"/>
        <v>-0.12294590022027241</v>
      </c>
      <c r="AH424" s="284">
        <f t="shared" si="231"/>
        <v>-1.5767788089839252E-2</v>
      </c>
      <c r="AI424" s="284">
        <f t="shared" si="231"/>
        <v>8.746352452425965E-2</v>
      </c>
      <c r="AJ424" s="284">
        <f t="shared" si="231"/>
        <v>0.19791713756409424</v>
      </c>
      <c r="AK424" s="284">
        <f t="shared" si="231"/>
        <v>0.31133389650602061</v>
      </c>
      <c r="AL424" s="284">
        <f t="shared" si="231"/>
        <v>0.42757326615778513</v>
      </c>
    </row>
    <row r="425" spans="1:38" outlineLevel="1" x14ac:dyDescent="0.2">
      <c r="B425" s="295" t="s">
        <v>243</v>
      </c>
      <c r="C425" s="205" t="s">
        <v>39</v>
      </c>
      <c r="D425" s="294"/>
      <c r="E425" s="281"/>
      <c r="F425" s="281"/>
      <c r="G425" s="281"/>
      <c r="H425" s="281"/>
      <c r="I425" s="281">
        <f t="shared" ref="I425:AL425" si="232">I414+I419</f>
        <v>-0.11593854840330246</v>
      </c>
      <c r="J425" s="281">
        <f t="shared" si="232"/>
        <v>-0.10687022900763357</v>
      </c>
      <c r="K425" s="281">
        <f t="shared" si="232"/>
        <v>-7.4999999999999997E-2</v>
      </c>
      <c r="L425" s="281">
        <f t="shared" si="232"/>
        <v>-7.4999999999999997E-2</v>
      </c>
      <c r="M425" s="281">
        <f t="shared" si="232"/>
        <v>-7.4999999999999997E-2</v>
      </c>
      <c r="N425" s="281">
        <f t="shared" si="232"/>
        <v>-7.4999999999999997E-2</v>
      </c>
      <c r="O425" s="281">
        <f t="shared" si="232"/>
        <v>-7.4999999999999997E-2</v>
      </c>
      <c r="P425" s="281">
        <f t="shared" si="232"/>
        <v>-7.4999999999999997E-2</v>
      </c>
      <c r="Q425" s="281">
        <f t="shared" si="232"/>
        <v>-7.4999999999999997E-2</v>
      </c>
      <c r="R425" s="281">
        <f t="shared" si="232"/>
        <v>-7.4999999999999997E-2</v>
      </c>
      <c r="S425" s="281">
        <f t="shared" si="232"/>
        <v>-7.4999999999999997E-2</v>
      </c>
      <c r="T425" s="281">
        <f t="shared" si="232"/>
        <v>-7.4999999999999997E-2</v>
      </c>
      <c r="U425" s="281">
        <f t="shared" si="232"/>
        <v>-7.4999999999999997E-2</v>
      </c>
      <c r="V425" s="281">
        <f t="shared" si="232"/>
        <v>-7.4999999999999997E-2</v>
      </c>
      <c r="W425" s="281">
        <f t="shared" si="232"/>
        <v>-7.4999999999999997E-2</v>
      </c>
      <c r="X425" s="281">
        <f t="shared" si="232"/>
        <v>-7.4999999999999997E-2</v>
      </c>
      <c r="Y425" s="281">
        <f t="shared" si="232"/>
        <v>-7.4999999999999997E-2</v>
      </c>
      <c r="Z425" s="281">
        <f t="shared" si="232"/>
        <v>-7.4999999999999997E-2</v>
      </c>
      <c r="AA425" s="281">
        <f t="shared" si="232"/>
        <v>-7.4999999999999997E-2</v>
      </c>
      <c r="AB425" s="281">
        <f t="shared" si="232"/>
        <v>-7.4999999999999997E-2</v>
      </c>
      <c r="AC425" s="281">
        <f t="shared" si="232"/>
        <v>-7.4999999999999997E-2</v>
      </c>
      <c r="AD425" s="281">
        <f t="shared" si="232"/>
        <v>-7.4999999999999997E-2</v>
      </c>
      <c r="AE425" s="281">
        <f t="shared" si="232"/>
        <v>-7.4999999999999997E-2</v>
      </c>
      <c r="AF425" s="281">
        <f t="shared" si="232"/>
        <v>-7.4999999999999997E-2</v>
      </c>
      <c r="AG425" s="281">
        <f t="shared" si="232"/>
        <v>-7.4999999999999997E-2</v>
      </c>
      <c r="AH425" s="281">
        <f t="shared" si="232"/>
        <v>-7.4999999999999997E-2</v>
      </c>
      <c r="AI425" s="281">
        <f t="shared" si="232"/>
        <v>-7.4999999999999997E-2</v>
      </c>
      <c r="AJ425" s="281">
        <f t="shared" si="232"/>
        <v>-7.4999999999999997E-2</v>
      </c>
      <c r="AK425" s="281">
        <f t="shared" si="232"/>
        <v>-7.4999999999999997E-2</v>
      </c>
      <c r="AL425" s="281">
        <f t="shared" si="232"/>
        <v>-7.4999999999999997E-2</v>
      </c>
    </row>
    <row r="426" spans="1:38" outlineLevel="1" x14ac:dyDescent="0.2">
      <c r="B426" s="295" t="s">
        <v>244</v>
      </c>
      <c r="C426" s="205" t="s">
        <v>39</v>
      </c>
      <c r="D426" s="294"/>
      <c r="E426" s="458"/>
      <c r="F426" s="458"/>
      <c r="G426" s="458">
        <f>G119/-G424</f>
        <v>2.8333333333333335</v>
      </c>
      <c r="H426" s="458">
        <f>H119/-H424</f>
        <v>2.75</v>
      </c>
      <c r="I426" s="458">
        <f>I119/-I424</f>
        <v>-8.7999999999999989</v>
      </c>
      <c r="J426" s="458">
        <f>J119/-J424</f>
        <v>3.05</v>
      </c>
      <c r="K426" s="458">
        <f t="shared" ref="K426:AL426" si="233">K119/-K424</f>
        <v>3.4901998808811885</v>
      </c>
      <c r="L426" s="458">
        <f t="shared" si="233"/>
        <v>7.0509702572503485</v>
      </c>
      <c r="M426" s="458">
        <f t="shared" si="233"/>
        <v>5.5393726759106592</v>
      </c>
      <c r="N426" s="458">
        <f t="shared" si="233"/>
        <v>8.5512180164347438</v>
      </c>
      <c r="O426" s="458">
        <f t="shared" si="233"/>
        <v>7.1395750029711635</v>
      </c>
      <c r="P426" s="458">
        <f t="shared" si="233"/>
        <v>10.432862423452965</v>
      </c>
      <c r="Q426" s="458">
        <f t="shared" si="233"/>
        <v>9.1465905012177817</v>
      </c>
      <c r="R426" s="458">
        <f t="shared" si="233"/>
        <v>11.879299648387665</v>
      </c>
      <c r="S426" s="458">
        <f t="shared" si="233"/>
        <v>10.953457596831068</v>
      </c>
      <c r="T426" s="458">
        <f t="shared" si="233"/>
        <v>14.266293468673688</v>
      </c>
      <c r="U426" s="458">
        <f t="shared" si="233"/>
        <v>12.87440219940285</v>
      </c>
      <c r="V426" s="458">
        <f t="shared" si="233"/>
        <v>16.85729408601555</v>
      </c>
      <c r="W426" s="458">
        <f t="shared" si="233"/>
        <v>15.480877257162094</v>
      </c>
      <c r="X426" s="458">
        <f t="shared" si="233"/>
        <v>20.690543534677897</v>
      </c>
      <c r="Y426" s="458">
        <f t="shared" si="233"/>
        <v>19.223067147575247</v>
      </c>
      <c r="Z426" s="458">
        <f t="shared" si="233"/>
        <v>26.267058758073645</v>
      </c>
      <c r="AA426" s="458">
        <f t="shared" si="233"/>
        <v>25.049688987460083</v>
      </c>
      <c r="AB426" s="458">
        <f t="shared" si="233"/>
        <v>35.471021786565508</v>
      </c>
      <c r="AC426" s="458">
        <f t="shared" si="233"/>
        <v>35.374592355499338</v>
      </c>
      <c r="AD426" s="458">
        <f t="shared" si="233"/>
        <v>53.252019781681803</v>
      </c>
      <c r="AE426" s="458">
        <f t="shared" si="233"/>
        <v>58.674262249791269</v>
      </c>
      <c r="AF426" s="458">
        <f t="shared" si="233"/>
        <v>105.22436073516241</v>
      </c>
      <c r="AG426" s="458">
        <f t="shared" si="233"/>
        <v>160.73072108062445</v>
      </c>
      <c r="AH426" s="458">
        <f t="shared" si="233"/>
        <v>1517.9938301244126</v>
      </c>
      <c r="AI426" s="458">
        <f t="shared" si="233"/>
        <v>-237.32528465217607</v>
      </c>
      <c r="AJ426" s="458">
        <f t="shared" si="233"/>
        <v>-127.0240621632575</v>
      </c>
      <c r="AK426" s="458">
        <f t="shared" si="233"/>
        <v>-70.032453244053926</v>
      </c>
      <c r="AL426" s="458">
        <f t="shared" si="233"/>
        <v>-61.756798699971355</v>
      </c>
    </row>
    <row r="427" spans="1:38" outlineLevel="1" x14ac:dyDescent="0.2">
      <c r="D427" s="294"/>
    </row>
    <row r="428" spans="1:38" outlineLevel="1" x14ac:dyDescent="0.2">
      <c r="B428" s="246" t="s">
        <v>245</v>
      </c>
      <c r="D428" s="294"/>
    </row>
    <row r="429" spans="1:38" outlineLevel="1" x14ac:dyDescent="0.2">
      <c r="B429" s="295" t="s">
        <v>246</v>
      </c>
      <c r="C429" s="205" t="s">
        <v>37</v>
      </c>
      <c r="D429" s="294"/>
      <c r="E429" s="284"/>
      <c r="F429" s="284"/>
      <c r="G429" s="284">
        <f t="shared" ref="G429:AL429" si="234">G319+G309</f>
        <v>0.1</v>
      </c>
      <c r="H429" s="284">
        <f t="shared" si="234"/>
        <v>33.299999999999997</v>
      </c>
      <c r="I429" s="284">
        <f t="shared" si="234"/>
        <v>33.799999999999997</v>
      </c>
      <c r="J429" s="284">
        <f t="shared" si="234"/>
        <v>33.799999999999997</v>
      </c>
      <c r="K429" s="284">
        <f t="shared" si="234"/>
        <v>33.799999999999997</v>
      </c>
      <c r="L429" s="284">
        <f t="shared" si="234"/>
        <v>33.799999999999997</v>
      </c>
      <c r="M429" s="284">
        <f t="shared" si="234"/>
        <v>33.799999999999997</v>
      </c>
      <c r="N429" s="284">
        <f t="shared" si="234"/>
        <v>33.799999999999997</v>
      </c>
      <c r="O429" s="284">
        <f t="shared" si="234"/>
        <v>33.799999999999997</v>
      </c>
      <c r="P429" s="284">
        <f t="shared" si="234"/>
        <v>33.799999999999997</v>
      </c>
      <c r="Q429" s="284">
        <f t="shared" si="234"/>
        <v>33.799999999999997</v>
      </c>
      <c r="R429" s="284">
        <f t="shared" si="234"/>
        <v>33.799999999999997</v>
      </c>
      <c r="S429" s="284">
        <f t="shared" si="234"/>
        <v>33.799999999999997</v>
      </c>
      <c r="T429" s="284">
        <f t="shared" si="234"/>
        <v>33.799999999999997</v>
      </c>
      <c r="U429" s="284">
        <f t="shared" si="234"/>
        <v>33.799999999999997</v>
      </c>
      <c r="V429" s="284">
        <f t="shared" si="234"/>
        <v>33.799999999999997</v>
      </c>
      <c r="W429" s="284">
        <f t="shared" si="234"/>
        <v>33.799999999999997</v>
      </c>
      <c r="X429" s="284">
        <f t="shared" si="234"/>
        <v>33.799999999999997</v>
      </c>
      <c r="Y429" s="284">
        <f t="shared" si="234"/>
        <v>33.799999999999997</v>
      </c>
      <c r="Z429" s="284">
        <f t="shared" si="234"/>
        <v>33.799999999999997</v>
      </c>
      <c r="AA429" s="284">
        <f t="shared" si="234"/>
        <v>33.799999999999997</v>
      </c>
      <c r="AB429" s="284">
        <f t="shared" si="234"/>
        <v>33.799999999999997</v>
      </c>
      <c r="AC429" s="284">
        <f t="shared" si="234"/>
        <v>33.799999999999997</v>
      </c>
      <c r="AD429" s="284">
        <f t="shared" si="234"/>
        <v>33.799999999999997</v>
      </c>
      <c r="AE429" s="284">
        <f t="shared" si="234"/>
        <v>33.799999999999997</v>
      </c>
      <c r="AF429" s="284">
        <f t="shared" si="234"/>
        <v>33.799999999999997</v>
      </c>
      <c r="AG429" s="284">
        <f t="shared" si="234"/>
        <v>33.799999999999997</v>
      </c>
      <c r="AH429" s="284">
        <f t="shared" si="234"/>
        <v>33.799999999999997</v>
      </c>
      <c r="AI429" s="284">
        <f t="shared" si="234"/>
        <v>33.799999999999997</v>
      </c>
      <c r="AJ429" s="284">
        <f t="shared" si="234"/>
        <v>33.799999999999997</v>
      </c>
      <c r="AK429" s="284">
        <f t="shared" si="234"/>
        <v>33.799999999999997</v>
      </c>
      <c r="AL429" s="284">
        <f t="shared" si="234"/>
        <v>33.799999999999997</v>
      </c>
    </row>
    <row r="430" spans="1:38" outlineLevel="1" x14ac:dyDescent="0.2">
      <c r="B430" s="295" t="s">
        <v>247</v>
      </c>
      <c r="C430" s="205" t="s">
        <v>37</v>
      </c>
      <c r="D430" s="294"/>
      <c r="E430" s="284"/>
      <c r="F430" s="284"/>
      <c r="G430" s="284">
        <f t="shared" ref="G430:AL430" si="235">G308</f>
        <v>0</v>
      </c>
      <c r="H430" s="284">
        <f t="shared" si="235"/>
        <v>0</v>
      </c>
      <c r="I430" s="284">
        <f t="shared" si="235"/>
        <v>0</v>
      </c>
      <c r="J430" s="284">
        <f t="shared" si="235"/>
        <v>0</v>
      </c>
      <c r="K430" s="284">
        <f t="shared" si="235"/>
        <v>0</v>
      </c>
      <c r="L430" s="284">
        <f t="shared" si="235"/>
        <v>0</v>
      </c>
      <c r="M430" s="284">
        <f t="shared" si="235"/>
        <v>0</v>
      </c>
      <c r="N430" s="284">
        <f t="shared" si="235"/>
        <v>0</v>
      </c>
      <c r="O430" s="284">
        <f t="shared" si="235"/>
        <v>0</v>
      </c>
      <c r="P430" s="284">
        <f t="shared" si="235"/>
        <v>0</v>
      </c>
      <c r="Q430" s="284">
        <f t="shared" si="235"/>
        <v>0</v>
      </c>
      <c r="R430" s="284">
        <f t="shared" si="235"/>
        <v>0</v>
      </c>
      <c r="S430" s="284">
        <f t="shared" si="235"/>
        <v>0</v>
      </c>
      <c r="T430" s="284">
        <f t="shared" si="235"/>
        <v>0</v>
      </c>
      <c r="U430" s="284">
        <f t="shared" si="235"/>
        <v>0</v>
      </c>
      <c r="V430" s="284">
        <f t="shared" si="235"/>
        <v>0</v>
      </c>
      <c r="W430" s="284">
        <f t="shared" si="235"/>
        <v>0</v>
      </c>
      <c r="X430" s="284">
        <f t="shared" si="235"/>
        <v>0</v>
      </c>
      <c r="Y430" s="284">
        <f t="shared" si="235"/>
        <v>0</v>
      </c>
      <c r="Z430" s="284">
        <f t="shared" si="235"/>
        <v>0</v>
      </c>
      <c r="AA430" s="284">
        <f t="shared" si="235"/>
        <v>0</v>
      </c>
      <c r="AB430" s="284">
        <f t="shared" si="235"/>
        <v>0</v>
      </c>
      <c r="AC430" s="284">
        <f t="shared" si="235"/>
        <v>0</v>
      </c>
      <c r="AD430" s="284">
        <f t="shared" si="235"/>
        <v>0</v>
      </c>
      <c r="AE430" s="284">
        <f t="shared" si="235"/>
        <v>0</v>
      </c>
      <c r="AF430" s="284">
        <f t="shared" si="235"/>
        <v>0</v>
      </c>
      <c r="AG430" s="284">
        <f t="shared" si="235"/>
        <v>0</v>
      </c>
      <c r="AH430" s="284">
        <f t="shared" si="235"/>
        <v>0</v>
      </c>
      <c r="AI430" s="284">
        <f t="shared" si="235"/>
        <v>0</v>
      </c>
      <c r="AJ430" s="284">
        <f t="shared" si="235"/>
        <v>0</v>
      </c>
      <c r="AK430" s="284">
        <f t="shared" si="235"/>
        <v>0</v>
      </c>
      <c r="AL430" s="284">
        <f t="shared" si="235"/>
        <v>0</v>
      </c>
    </row>
    <row r="431" spans="1:38" outlineLevel="1" x14ac:dyDescent="0.2">
      <c r="B431" s="295" t="s">
        <v>248</v>
      </c>
      <c r="C431" s="205" t="s">
        <v>37</v>
      </c>
      <c r="D431" s="294"/>
      <c r="E431" s="284"/>
      <c r="F431" s="284"/>
      <c r="G431" s="284">
        <f t="shared" ref="G431:AL431" si="236">-G289</f>
        <v>-16</v>
      </c>
      <c r="H431" s="284">
        <f t="shared" si="236"/>
        <v>-104.9</v>
      </c>
      <c r="I431" s="284">
        <f t="shared" si="236"/>
        <v>-40.799999999999997</v>
      </c>
      <c r="J431" s="284">
        <f t="shared" si="236"/>
        <v>-27.6</v>
      </c>
      <c r="K431" s="284">
        <f t="shared" si="236"/>
        <v>-26.892555806497558</v>
      </c>
      <c r="L431" s="284">
        <f t="shared" si="236"/>
        <v>-29.338569229590878</v>
      </c>
      <c r="M431" s="284">
        <f t="shared" si="236"/>
        <v>-31.939783849415459</v>
      </c>
      <c r="N431" s="284">
        <f t="shared" si="236"/>
        <v>-35.835070516634943</v>
      </c>
      <c r="O431" s="284">
        <f t="shared" si="236"/>
        <v>-40.032624768013811</v>
      </c>
      <c r="P431" s="284">
        <f t="shared" si="236"/>
        <v>-45.075051409491252</v>
      </c>
      <c r="Q431" s="284">
        <f t="shared" si="236"/>
        <v>-51.174293313388176</v>
      </c>
      <c r="R431" s="284">
        <f t="shared" si="236"/>
        <v>-57.029758684486303</v>
      </c>
      <c r="S431" s="284">
        <f t="shared" si="236"/>
        <v>-63.893465743987569</v>
      </c>
      <c r="T431" s="284">
        <f t="shared" si="236"/>
        <v>-70.504095236106579</v>
      </c>
      <c r="U431" s="284">
        <f t="shared" si="236"/>
        <v>-77.798861657977525</v>
      </c>
      <c r="V431" s="284">
        <f t="shared" si="236"/>
        <v>-84.828307149279439</v>
      </c>
      <c r="W431" s="284">
        <f t="shared" si="236"/>
        <v>-92.588693032276993</v>
      </c>
      <c r="X431" s="284">
        <f t="shared" si="236"/>
        <v>-100.07804561677837</v>
      </c>
      <c r="Y431" s="284">
        <f t="shared" si="236"/>
        <v>-108.33818713012715</v>
      </c>
      <c r="Z431" s="284">
        <f t="shared" si="236"/>
        <v>-116.31607461411772</v>
      </c>
      <c r="AA431" s="284">
        <f t="shared" si="236"/>
        <v>-125.11003662074853</v>
      </c>
      <c r="AB431" s="284">
        <f t="shared" si="236"/>
        <v>-133.60920232199746</v>
      </c>
      <c r="AC431" s="284">
        <f t="shared" si="236"/>
        <v>-142.97137166968815</v>
      </c>
      <c r="AD431" s="284">
        <f t="shared" si="236"/>
        <v>-152.02340019042907</v>
      </c>
      <c r="AE431" s="284">
        <f t="shared" si="236"/>
        <v>-161.98878255319909</v>
      </c>
      <c r="AF431" s="284">
        <f t="shared" si="236"/>
        <v>-171.63063761402185</v>
      </c>
      <c r="AG431" s="284">
        <f t="shared" si="236"/>
        <v>-182.23515396331729</v>
      </c>
      <c r="AH431" s="284">
        <f t="shared" si="236"/>
        <v>-192.50005066612897</v>
      </c>
      <c r="AI431" s="284">
        <f t="shared" si="236"/>
        <v>-203.78073348367246</v>
      </c>
      <c r="AJ431" s="284">
        <f t="shared" si="236"/>
        <v>-214.70458484366776</v>
      </c>
      <c r="AK431" s="284">
        <f t="shared" si="236"/>
        <v>-226.69979179878885</v>
      </c>
      <c r="AL431" s="284">
        <f t="shared" si="236"/>
        <v>-238.32148507476333</v>
      </c>
    </row>
    <row r="432" spans="1:38" s="262" customFormat="1" outlineLevel="1" x14ac:dyDescent="0.2">
      <c r="A432" s="286"/>
      <c r="B432" s="549" t="s">
        <v>67</v>
      </c>
      <c r="C432" s="260" t="s">
        <v>67</v>
      </c>
      <c r="D432" s="279"/>
      <c r="E432" s="287"/>
      <c r="F432" s="287"/>
      <c r="G432" s="287" t="s">
        <v>67</v>
      </c>
      <c r="H432" s="287" t="s">
        <v>67</v>
      </c>
      <c r="I432" s="287" t="s">
        <v>67</v>
      </c>
      <c r="J432" s="287" t="s">
        <v>67</v>
      </c>
      <c r="K432" s="287" t="s">
        <v>67</v>
      </c>
      <c r="L432" s="287" t="s">
        <v>67</v>
      </c>
      <c r="M432" s="287" t="s">
        <v>67</v>
      </c>
      <c r="N432" s="287" t="s">
        <v>67</v>
      </c>
      <c r="O432" s="287" t="s">
        <v>67</v>
      </c>
      <c r="P432" s="287" t="s">
        <v>67</v>
      </c>
      <c r="Q432" s="287" t="s">
        <v>67</v>
      </c>
      <c r="R432" s="287" t="s">
        <v>67</v>
      </c>
      <c r="S432" s="287" t="s">
        <v>67</v>
      </c>
      <c r="T432" s="287" t="s">
        <v>67</v>
      </c>
      <c r="U432" s="287" t="s">
        <v>67</v>
      </c>
      <c r="V432" s="287" t="s">
        <v>67</v>
      </c>
      <c r="W432" s="287" t="s">
        <v>67</v>
      </c>
      <c r="X432" s="287" t="s">
        <v>67</v>
      </c>
      <c r="Y432" s="287" t="s">
        <v>67</v>
      </c>
      <c r="Z432" s="287" t="s">
        <v>67</v>
      </c>
      <c r="AA432" s="287" t="s">
        <v>67</v>
      </c>
      <c r="AB432" s="287" t="s">
        <v>67</v>
      </c>
      <c r="AC432" s="287" t="s">
        <v>67</v>
      </c>
      <c r="AD432" s="287" t="s">
        <v>67</v>
      </c>
      <c r="AE432" s="287" t="s">
        <v>67</v>
      </c>
      <c r="AF432" s="287" t="s">
        <v>67</v>
      </c>
      <c r="AG432" s="287" t="s">
        <v>67</v>
      </c>
      <c r="AH432" s="287" t="s">
        <v>67</v>
      </c>
      <c r="AI432" s="287" t="s">
        <v>67</v>
      </c>
      <c r="AJ432" s="287" t="s">
        <v>67</v>
      </c>
      <c r="AK432" s="287" t="s">
        <v>67</v>
      </c>
      <c r="AL432" s="287" t="s">
        <v>67</v>
      </c>
    </row>
    <row r="433" spans="1:38" outlineLevel="1" x14ac:dyDescent="0.2">
      <c r="B433" s="290" t="s">
        <v>249</v>
      </c>
      <c r="C433" s="247" t="s">
        <v>37</v>
      </c>
      <c r="D433" s="294"/>
      <c r="E433" s="289"/>
      <c r="F433" s="289"/>
      <c r="G433" s="288">
        <f t="shared" ref="G433:AL433" si="237">SUM(G429:G432)</f>
        <v>-15.9</v>
      </c>
      <c r="H433" s="288">
        <f t="shared" si="237"/>
        <v>-71.600000000000009</v>
      </c>
      <c r="I433" s="288">
        <f t="shared" si="237"/>
        <v>-7</v>
      </c>
      <c r="J433" s="288">
        <f t="shared" si="237"/>
        <v>6.1999999999999957</v>
      </c>
      <c r="K433" s="288">
        <f t="shared" si="237"/>
        <v>6.9074441935024389</v>
      </c>
      <c r="L433" s="288">
        <f t="shared" si="237"/>
        <v>4.4614307704091196</v>
      </c>
      <c r="M433" s="288">
        <f t="shared" si="237"/>
        <v>1.860216150584538</v>
      </c>
      <c r="N433" s="288">
        <f t="shared" si="237"/>
        <v>-2.0350705166349456</v>
      </c>
      <c r="O433" s="288">
        <f t="shared" si="237"/>
        <v>-6.2326247680138138</v>
      </c>
      <c r="P433" s="288">
        <f t="shared" si="237"/>
        <v>-11.275051409491255</v>
      </c>
      <c r="Q433" s="288">
        <f t="shared" si="237"/>
        <v>-17.374293313388179</v>
      </c>
      <c r="R433" s="288">
        <f t="shared" si="237"/>
        <v>-23.229758684486306</v>
      </c>
      <c r="S433" s="288">
        <f t="shared" si="237"/>
        <v>-30.093465743987572</v>
      </c>
      <c r="T433" s="288">
        <f t="shared" si="237"/>
        <v>-36.704095236106582</v>
      </c>
      <c r="U433" s="288">
        <f t="shared" si="237"/>
        <v>-43.998861657977528</v>
      </c>
      <c r="V433" s="288">
        <f t="shared" si="237"/>
        <v>-51.028307149279442</v>
      </c>
      <c r="W433" s="288">
        <f t="shared" si="237"/>
        <v>-58.788693032276996</v>
      </c>
      <c r="X433" s="288">
        <f t="shared" si="237"/>
        <v>-66.278045616778371</v>
      </c>
      <c r="Y433" s="288">
        <f t="shared" si="237"/>
        <v>-74.538187130127156</v>
      </c>
      <c r="Z433" s="288">
        <f t="shared" si="237"/>
        <v>-82.516074614117727</v>
      </c>
      <c r="AA433" s="288">
        <f t="shared" si="237"/>
        <v>-91.310036620748534</v>
      </c>
      <c r="AB433" s="288">
        <f t="shared" si="237"/>
        <v>-99.809202321997461</v>
      </c>
      <c r="AC433" s="288">
        <f t="shared" si="237"/>
        <v>-109.17137166968816</v>
      </c>
      <c r="AD433" s="288">
        <f t="shared" si="237"/>
        <v>-118.22340019042907</v>
      </c>
      <c r="AE433" s="288">
        <f t="shared" si="237"/>
        <v>-128.18878255319908</v>
      </c>
      <c r="AF433" s="288">
        <f t="shared" si="237"/>
        <v>-137.83063761402184</v>
      </c>
      <c r="AG433" s="288">
        <f t="shared" si="237"/>
        <v>-148.4351539633173</v>
      </c>
      <c r="AH433" s="288">
        <f t="shared" si="237"/>
        <v>-158.70005066612896</v>
      </c>
      <c r="AI433" s="288">
        <f t="shared" si="237"/>
        <v>-169.98073348367245</v>
      </c>
      <c r="AJ433" s="288">
        <f t="shared" si="237"/>
        <v>-180.90458484366775</v>
      </c>
      <c r="AK433" s="288">
        <f t="shared" si="237"/>
        <v>-192.89979179878884</v>
      </c>
      <c r="AL433" s="288">
        <f t="shared" si="237"/>
        <v>-204.52148507476335</v>
      </c>
    </row>
    <row r="434" spans="1:38" outlineLevel="1" x14ac:dyDescent="0.2">
      <c r="B434" s="290"/>
      <c r="C434" s="247"/>
      <c r="D434" s="294"/>
      <c r="E434" s="289"/>
      <c r="F434" s="289"/>
      <c r="G434" s="288"/>
      <c r="H434" s="288"/>
      <c r="I434" s="288"/>
      <c r="J434" s="288"/>
      <c r="K434" s="288"/>
      <c r="L434" s="288"/>
      <c r="M434" s="288"/>
      <c r="N434" s="288"/>
      <c r="O434" s="288"/>
      <c r="P434" s="288"/>
      <c r="Q434" s="288"/>
      <c r="R434" s="288"/>
      <c r="S434" s="288"/>
      <c r="T434" s="288"/>
      <c r="U434" s="288"/>
      <c r="V434" s="288"/>
      <c r="W434" s="288"/>
      <c r="X434" s="288"/>
      <c r="Y434" s="288"/>
      <c r="Z434" s="288"/>
      <c r="AA434" s="288"/>
      <c r="AB434" s="288"/>
      <c r="AC434" s="288"/>
      <c r="AD434" s="288"/>
      <c r="AE434" s="288"/>
      <c r="AF434" s="288"/>
      <c r="AG434" s="288"/>
      <c r="AH434" s="288"/>
      <c r="AI434" s="288"/>
      <c r="AJ434" s="288"/>
      <c r="AK434" s="288"/>
      <c r="AL434" s="288"/>
    </row>
    <row r="435" spans="1:38" outlineLevel="1" x14ac:dyDescent="0.2">
      <c r="B435" s="295" t="s">
        <v>235</v>
      </c>
      <c r="C435" s="205" t="s">
        <v>37</v>
      </c>
      <c r="D435" s="294"/>
      <c r="E435" s="284"/>
      <c r="F435" s="284"/>
      <c r="G435" s="284">
        <f t="shared" ref="G435:AL435" si="238">G310+G320</f>
        <v>5.9</v>
      </c>
      <c r="H435" s="284">
        <f t="shared" si="238"/>
        <v>5.6</v>
      </c>
      <c r="I435" s="284">
        <f t="shared" si="238"/>
        <v>5.5</v>
      </c>
      <c r="J435" s="284">
        <f t="shared" si="238"/>
        <v>4.9000000000000004</v>
      </c>
      <c r="K435" s="284">
        <f t="shared" si="238"/>
        <v>4.9000000000000004</v>
      </c>
      <c r="L435" s="284">
        <f t="shared" si="238"/>
        <v>4.9000000000000004</v>
      </c>
      <c r="M435" s="284">
        <f t="shared" si="238"/>
        <v>4.9000000000000004</v>
      </c>
      <c r="N435" s="284">
        <f t="shared" si="238"/>
        <v>4.9000000000000004</v>
      </c>
      <c r="O435" s="284">
        <f t="shared" si="238"/>
        <v>4.9000000000000004</v>
      </c>
      <c r="P435" s="284">
        <f t="shared" si="238"/>
        <v>4.9000000000000004</v>
      </c>
      <c r="Q435" s="284">
        <f t="shared" si="238"/>
        <v>4.9000000000000004</v>
      </c>
      <c r="R435" s="284">
        <f t="shared" si="238"/>
        <v>4.9000000000000004</v>
      </c>
      <c r="S435" s="284">
        <f t="shared" si="238"/>
        <v>4.9000000000000004</v>
      </c>
      <c r="T435" s="284">
        <f t="shared" si="238"/>
        <v>4.9000000000000004</v>
      </c>
      <c r="U435" s="284">
        <f t="shared" si="238"/>
        <v>4.9000000000000004</v>
      </c>
      <c r="V435" s="284">
        <f t="shared" si="238"/>
        <v>4.9000000000000004</v>
      </c>
      <c r="W435" s="284">
        <f t="shared" si="238"/>
        <v>4.9000000000000004</v>
      </c>
      <c r="X435" s="284">
        <f t="shared" si="238"/>
        <v>4.9000000000000004</v>
      </c>
      <c r="Y435" s="284">
        <f t="shared" si="238"/>
        <v>4.9000000000000004</v>
      </c>
      <c r="Z435" s="284">
        <f t="shared" si="238"/>
        <v>4.9000000000000004</v>
      </c>
      <c r="AA435" s="284">
        <f t="shared" si="238"/>
        <v>4.9000000000000004</v>
      </c>
      <c r="AB435" s="284">
        <f t="shared" si="238"/>
        <v>4.9000000000000004</v>
      </c>
      <c r="AC435" s="284">
        <f t="shared" si="238"/>
        <v>4.9000000000000004</v>
      </c>
      <c r="AD435" s="284">
        <f t="shared" si="238"/>
        <v>4.9000000000000004</v>
      </c>
      <c r="AE435" s="284">
        <f t="shared" si="238"/>
        <v>4.9000000000000004</v>
      </c>
      <c r="AF435" s="284">
        <f t="shared" si="238"/>
        <v>4.9000000000000004</v>
      </c>
      <c r="AG435" s="284">
        <f t="shared" si="238"/>
        <v>4.9000000000000004</v>
      </c>
      <c r="AH435" s="284">
        <f t="shared" si="238"/>
        <v>4.9000000000000004</v>
      </c>
      <c r="AI435" s="284">
        <f t="shared" si="238"/>
        <v>4.9000000000000004</v>
      </c>
      <c r="AJ435" s="284">
        <f t="shared" si="238"/>
        <v>4.9000000000000004</v>
      </c>
      <c r="AK435" s="284">
        <f t="shared" si="238"/>
        <v>4.9000000000000004</v>
      </c>
      <c r="AL435" s="284">
        <f t="shared" si="238"/>
        <v>4.9000000000000004</v>
      </c>
    </row>
    <row r="436" spans="1:38" outlineLevel="1" x14ac:dyDescent="0.2">
      <c r="B436" s="290" t="s">
        <v>250</v>
      </c>
      <c r="C436" s="247" t="s">
        <v>37</v>
      </c>
      <c r="D436" s="294"/>
      <c r="E436" s="289"/>
      <c r="F436" s="289"/>
      <c r="G436" s="288">
        <f t="shared" ref="G436:AL436" si="239">G433+G435</f>
        <v>-10</v>
      </c>
      <c r="H436" s="288">
        <f t="shared" si="239"/>
        <v>-66.000000000000014</v>
      </c>
      <c r="I436" s="288">
        <f t="shared" si="239"/>
        <v>-1.5</v>
      </c>
      <c r="J436" s="288">
        <f t="shared" si="239"/>
        <v>11.099999999999996</v>
      </c>
      <c r="K436" s="288">
        <f t="shared" si="239"/>
        <v>11.807444193502439</v>
      </c>
      <c r="L436" s="288">
        <f t="shared" si="239"/>
        <v>9.36143077040912</v>
      </c>
      <c r="M436" s="288">
        <f t="shared" si="239"/>
        <v>6.7602161505845384</v>
      </c>
      <c r="N436" s="288">
        <f t="shared" si="239"/>
        <v>2.8649294833650547</v>
      </c>
      <c r="O436" s="288">
        <f t="shared" si="239"/>
        <v>-1.3326247680138135</v>
      </c>
      <c r="P436" s="288">
        <f t="shared" si="239"/>
        <v>-6.3750514094912543</v>
      </c>
      <c r="Q436" s="288">
        <f t="shared" si="239"/>
        <v>-12.474293313388179</v>
      </c>
      <c r="R436" s="288">
        <f t="shared" si="239"/>
        <v>-18.329758684486308</v>
      </c>
      <c r="S436" s="288">
        <f t="shared" si="239"/>
        <v>-25.193465743987574</v>
      </c>
      <c r="T436" s="288">
        <f t="shared" si="239"/>
        <v>-31.804095236106583</v>
      </c>
      <c r="U436" s="288">
        <f t="shared" si="239"/>
        <v>-39.09886165797753</v>
      </c>
      <c r="V436" s="288">
        <f t="shared" si="239"/>
        <v>-46.128307149279443</v>
      </c>
      <c r="W436" s="288">
        <f t="shared" si="239"/>
        <v>-53.888693032276997</v>
      </c>
      <c r="X436" s="288">
        <f t="shared" si="239"/>
        <v>-61.378045616778373</v>
      </c>
      <c r="Y436" s="288">
        <f t="shared" si="239"/>
        <v>-69.63818713012715</v>
      </c>
      <c r="Z436" s="288">
        <f t="shared" si="239"/>
        <v>-77.616074614117721</v>
      </c>
      <c r="AA436" s="288">
        <f t="shared" si="239"/>
        <v>-86.410036620748528</v>
      </c>
      <c r="AB436" s="288">
        <f t="shared" si="239"/>
        <v>-94.909202321997455</v>
      </c>
      <c r="AC436" s="288">
        <f t="shared" si="239"/>
        <v>-104.27137166968815</v>
      </c>
      <c r="AD436" s="288">
        <f t="shared" si="239"/>
        <v>-113.32340019042907</v>
      </c>
      <c r="AE436" s="288">
        <f t="shared" si="239"/>
        <v>-123.28878255319907</v>
      </c>
      <c r="AF436" s="288">
        <f t="shared" si="239"/>
        <v>-132.93063761402183</v>
      </c>
      <c r="AG436" s="288">
        <f t="shared" si="239"/>
        <v>-143.5351539633173</v>
      </c>
      <c r="AH436" s="288">
        <f t="shared" si="239"/>
        <v>-153.80005066612895</v>
      </c>
      <c r="AI436" s="288">
        <f t="shared" si="239"/>
        <v>-165.08073348367245</v>
      </c>
      <c r="AJ436" s="288">
        <f t="shared" si="239"/>
        <v>-176.00458484366774</v>
      </c>
      <c r="AK436" s="288">
        <f t="shared" si="239"/>
        <v>-187.99979179878883</v>
      </c>
      <c r="AL436" s="288">
        <f t="shared" si="239"/>
        <v>-199.62148507476334</v>
      </c>
    </row>
    <row r="437" spans="1:38" outlineLevel="1" x14ac:dyDescent="0.2">
      <c r="B437" s="290"/>
      <c r="C437" s="247"/>
      <c r="D437" s="294"/>
      <c r="E437" s="289"/>
      <c r="F437" s="289"/>
      <c r="G437" s="288"/>
      <c r="H437" s="288"/>
      <c r="I437" s="288"/>
      <c r="J437" s="288"/>
      <c r="K437" s="288"/>
      <c r="L437" s="288"/>
      <c r="M437" s="288"/>
      <c r="N437" s="288"/>
      <c r="O437" s="288"/>
      <c r="P437" s="288"/>
      <c r="Q437" s="288"/>
      <c r="R437" s="288"/>
      <c r="S437" s="288"/>
      <c r="T437" s="288"/>
      <c r="U437" s="288"/>
      <c r="V437" s="288"/>
      <c r="W437" s="288"/>
      <c r="X437" s="288"/>
      <c r="Y437" s="288"/>
      <c r="Z437" s="288"/>
      <c r="AA437" s="288"/>
      <c r="AB437" s="288"/>
      <c r="AC437" s="288"/>
      <c r="AD437" s="288"/>
      <c r="AE437" s="288"/>
      <c r="AF437" s="288"/>
      <c r="AG437" s="288"/>
      <c r="AH437" s="288"/>
      <c r="AI437" s="288"/>
      <c r="AJ437" s="288"/>
      <c r="AK437" s="288"/>
      <c r="AL437" s="288"/>
    </row>
    <row r="438" spans="1:38" outlineLevel="1" x14ac:dyDescent="0.2">
      <c r="B438" s="295" t="s">
        <v>182</v>
      </c>
      <c r="C438" s="205" t="s">
        <v>37</v>
      </c>
      <c r="D438" s="294"/>
      <c r="E438" s="284"/>
      <c r="F438" s="284"/>
      <c r="G438" s="284">
        <f t="shared" ref="G438:AL438" si="240">G313</f>
        <v>11.8</v>
      </c>
      <c r="H438" s="284">
        <f t="shared" si="240"/>
        <v>13.4</v>
      </c>
      <c r="I438" s="284">
        <f t="shared" si="240"/>
        <v>14.1</v>
      </c>
      <c r="J438" s="284">
        <f t="shared" si="240"/>
        <v>11</v>
      </c>
      <c r="K438" s="284">
        <f t="shared" si="240"/>
        <v>11</v>
      </c>
      <c r="L438" s="284">
        <f t="shared" si="240"/>
        <v>11</v>
      </c>
      <c r="M438" s="284">
        <f t="shared" si="240"/>
        <v>11</v>
      </c>
      <c r="N438" s="284">
        <f t="shared" si="240"/>
        <v>11</v>
      </c>
      <c r="O438" s="284">
        <f t="shared" si="240"/>
        <v>11</v>
      </c>
      <c r="P438" s="284">
        <f t="shared" si="240"/>
        <v>11</v>
      </c>
      <c r="Q438" s="284">
        <f t="shared" si="240"/>
        <v>11</v>
      </c>
      <c r="R438" s="284">
        <f t="shared" si="240"/>
        <v>11</v>
      </c>
      <c r="S438" s="284">
        <f t="shared" si="240"/>
        <v>11</v>
      </c>
      <c r="T438" s="284">
        <f t="shared" si="240"/>
        <v>11</v>
      </c>
      <c r="U438" s="284">
        <f t="shared" si="240"/>
        <v>11</v>
      </c>
      <c r="V438" s="284">
        <f t="shared" si="240"/>
        <v>11</v>
      </c>
      <c r="W438" s="284">
        <f t="shared" si="240"/>
        <v>11</v>
      </c>
      <c r="X438" s="284">
        <f t="shared" si="240"/>
        <v>11</v>
      </c>
      <c r="Y438" s="284">
        <f t="shared" si="240"/>
        <v>11</v>
      </c>
      <c r="Z438" s="284">
        <f t="shared" si="240"/>
        <v>11</v>
      </c>
      <c r="AA438" s="284">
        <f t="shared" si="240"/>
        <v>11</v>
      </c>
      <c r="AB438" s="284">
        <f t="shared" si="240"/>
        <v>11</v>
      </c>
      <c r="AC438" s="284">
        <f t="shared" si="240"/>
        <v>11</v>
      </c>
      <c r="AD438" s="284">
        <f t="shared" si="240"/>
        <v>11</v>
      </c>
      <c r="AE438" s="284">
        <f t="shared" si="240"/>
        <v>11</v>
      </c>
      <c r="AF438" s="284">
        <f t="shared" si="240"/>
        <v>11</v>
      </c>
      <c r="AG438" s="284">
        <f t="shared" si="240"/>
        <v>11</v>
      </c>
      <c r="AH438" s="284">
        <f t="shared" si="240"/>
        <v>11</v>
      </c>
      <c r="AI438" s="284">
        <f t="shared" si="240"/>
        <v>11</v>
      </c>
      <c r="AJ438" s="284">
        <f t="shared" si="240"/>
        <v>11</v>
      </c>
      <c r="AK438" s="284">
        <f t="shared" si="240"/>
        <v>11</v>
      </c>
      <c r="AL438" s="284">
        <f t="shared" si="240"/>
        <v>11</v>
      </c>
    </row>
    <row r="439" spans="1:38" outlineLevel="1" x14ac:dyDescent="0.2">
      <c r="B439" s="290" t="s">
        <v>251</v>
      </c>
      <c r="C439" s="247" t="s">
        <v>37</v>
      </c>
      <c r="D439" s="294"/>
      <c r="E439" s="289"/>
      <c r="F439" s="289"/>
      <c r="G439" s="288">
        <f t="shared" ref="G439:AL439" si="241">G436+G438</f>
        <v>1.8000000000000007</v>
      </c>
      <c r="H439" s="288">
        <f t="shared" si="241"/>
        <v>-52.600000000000016</v>
      </c>
      <c r="I439" s="288">
        <f t="shared" si="241"/>
        <v>12.6</v>
      </c>
      <c r="J439" s="288">
        <f t="shared" si="241"/>
        <v>22.099999999999994</v>
      </c>
      <c r="K439" s="288">
        <f t="shared" si="241"/>
        <v>22.807444193502441</v>
      </c>
      <c r="L439" s="288">
        <f t="shared" si="241"/>
        <v>20.361430770409122</v>
      </c>
      <c r="M439" s="288">
        <f t="shared" si="241"/>
        <v>17.76021615058454</v>
      </c>
      <c r="N439" s="288">
        <f t="shared" si="241"/>
        <v>13.864929483365055</v>
      </c>
      <c r="O439" s="288">
        <f t="shared" si="241"/>
        <v>9.6673752319861865</v>
      </c>
      <c r="P439" s="288">
        <f t="shared" si="241"/>
        <v>4.6249485905087457</v>
      </c>
      <c r="Q439" s="288">
        <f t="shared" si="241"/>
        <v>-1.4742933133881788</v>
      </c>
      <c r="R439" s="288">
        <f t="shared" si="241"/>
        <v>-7.3297586844863076</v>
      </c>
      <c r="S439" s="288">
        <f t="shared" si="241"/>
        <v>-14.193465743987574</v>
      </c>
      <c r="T439" s="288">
        <f t="shared" si="241"/>
        <v>-20.804095236106583</v>
      </c>
      <c r="U439" s="288">
        <f t="shared" si="241"/>
        <v>-28.09886165797753</v>
      </c>
      <c r="V439" s="288">
        <f t="shared" si="241"/>
        <v>-35.128307149279443</v>
      </c>
      <c r="W439" s="288">
        <f t="shared" si="241"/>
        <v>-42.888693032276997</v>
      </c>
      <c r="X439" s="288">
        <f t="shared" si="241"/>
        <v>-50.378045616778373</v>
      </c>
      <c r="Y439" s="288">
        <f t="shared" si="241"/>
        <v>-58.63818713012715</v>
      </c>
      <c r="Z439" s="288">
        <f t="shared" si="241"/>
        <v>-66.616074614117721</v>
      </c>
      <c r="AA439" s="288">
        <f t="shared" si="241"/>
        <v>-75.410036620748528</v>
      </c>
      <c r="AB439" s="288">
        <f t="shared" si="241"/>
        <v>-83.909202321997455</v>
      </c>
      <c r="AC439" s="288">
        <f t="shared" si="241"/>
        <v>-93.271371669688151</v>
      </c>
      <c r="AD439" s="288">
        <f t="shared" si="241"/>
        <v>-102.32340019042907</v>
      </c>
      <c r="AE439" s="288">
        <f t="shared" si="241"/>
        <v>-112.28878255319907</v>
      </c>
      <c r="AF439" s="288">
        <f t="shared" si="241"/>
        <v>-121.93063761402183</v>
      </c>
      <c r="AG439" s="288">
        <f t="shared" si="241"/>
        <v>-132.5351539633173</v>
      </c>
      <c r="AH439" s="288">
        <f t="shared" si="241"/>
        <v>-142.80005066612895</v>
      </c>
      <c r="AI439" s="288">
        <f t="shared" si="241"/>
        <v>-154.08073348367245</v>
      </c>
      <c r="AJ439" s="288">
        <f t="shared" si="241"/>
        <v>-165.00458484366774</v>
      </c>
      <c r="AK439" s="288">
        <f t="shared" si="241"/>
        <v>-176.99979179878883</v>
      </c>
      <c r="AL439" s="288">
        <f t="shared" si="241"/>
        <v>-188.62148507476334</v>
      </c>
    </row>
    <row r="440" spans="1:38" outlineLevel="1" x14ac:dyDescent="0.2">
      <c r="B440" s="290"/>
      <c r="C440" s="247"/>
      <c r="D440" s="294"/>
      <c r="E440" s="289"/>
      <c r="F440" s="289"/>
      <c r="G440" s="288"/>
      <c r="H440" s="288"/>
      <c r="I440" s="288"/>
      <c r="J440" s="288"/>
      <c r="K440" s="288"/>
      <c r="L440" s="288"/>
      <c r="M440" s="288"/>
      <c r="N440" s="288"/>
      <c r="O440" s="288"/>
      <c r="P440" s="288"/>
      <c r="Q440" s="288"/>
      <c r="R440" s="288"/>
      <c r="S440" s="288"/>
      <c r="T440" s="288"/>
      <c r="U440" s="288"/>
      <c r="V440" s="288"/>
      <c r="W440" s="288"/>
      <c r="X440" s="288"/>
      <c r="Y440" s="288"/>
      <c r="Z440" s="288"/>
      <c r="AA440" s="288"/>
      <c r="AB440" s="288"/>
      <c r="AC440" s="288"/>
      <c r="AD440" s="288"/>
      <c r="AE440" s="288"/>
      <c r="AF440" s="288"/>
      <c r="AG440" s="288"/>
      <c r="AH440" s="288"/>
      <c r="AI440" s="288"/>
      <c r="AJ440" s="288"/>
      <c r="AK440" s="288"/>
      <c r="AL440" s="288"/>
    </row>
    <row r="441" spans="1:38" outlineLevel="1" x14ac:dyDescent="0.2">
      <c r="B441" s="295" t="s">
        <v>252</v>
      </c>
      <c r="C441" s="205" t="s">
        <v>37</v>
      </c>
      <c r="D441" s="294"/>
      <c r="E441" s="284"/>
      <c r="F441" s="284"/>
      <c r="G441" s="284">
        <f t="shared" ref="G441:AL441" si="242">SUM(F119:G119)</f>
        <v>3.5999999999999996</v>
      </c>
      <c r="H441" s="284">
        <f t="shared" si="242"/>
        <v>7.2</v>
      </c>
      <c r="I441" s="284">
        <f t="shared" si="242"/>
        <v>-7.6999999999999993</v>
      </c>
      <c r="J441" s="284">
        <f t="shared" si="242"/>
        <v>-7.1</v>
      </c>
      <c r="K441" s="284">
        <f t="shared" si="242"/>
        <v>11.597380364705868</v>
      </c>
      <c r="L441" s="284">
        <f t="shared" si="242"/>
        <v>16.471692986595372</v>
      </c>
      <c r="M441" s="284">
        <f t="shared" si="242"/>
        <v>19.60222802283068</v>
      </c>
      <c r="N441" s="284">
        <f t="shared" si="242"/>
        <v>21.580367708525142</v>
      </c>
      <c r="O441" s="284">
        <f t="shared" si="242"/>
        <v>23.605146939172197</v>
      </c>
      <c r="P441" s="284">
        <f t="shared" si="242"/>
        <v>25.531053994271389</v>
      </c>
      <c r="Q441" s="284">
        <f t="shared" si="242"/>
        <v>27.673557662700805</v>
      </c>
      <c r="R441" s="284">
        <f t="shared" si="242"/>
        <v>28.423655630834983</v>
      </c>
      <c r="S441" s="284">
        <f t="shared" si="242"/>
        <v>29.63107207373335</v>
      </c>
      <c r="T441" s="284">
        <f t="shared" si="242"/>
        <v>30.971771014470328</v>
      </c>
      <c r="U441" s="284">
        <f t="shared" si="242"/>
        <v>31.678458113616148</v>
      </c>
      <c r="V441" s="284">
        <f t="shared" si="242"/>
        <v>32.533472289193867</v>
      </c>
      <c r="W441" s="284">
        <f t="shared" si="242"/>
        <v>33.275690434156935</v>
      </c>
      <c r="X441" s="284">
        <f t="shared" si="242"/>
        <v>34.173652009373534</v>
      </c>
      <c r="Y441" s="284">
        <f t="shared" si="242"/>
        <v>34.953183653170576</v>
      </c>
      <c r="Z441" s="284">
        <f t="shared" si="242"/>
        <v>35.896245898733802</v>
      </c>
      <c r="AA441" s="284">
        <f t="shared" si="242"/>
        <v>36.714962794054095</v>
      </c>
      <c r="AB441" s="284">
        <f t="shared" si="242"/>
        <v>37.705386821228878</v>
      </c>
      <c r="AC441" s="284">
        <f t="shared" si="242"/>
        <v>38.565254490728542</v>
      </c>
      <c r="AD441" s="284">
        <f t="shared" si="242"/>
        <v>39.605414648675428</v>
      </c>
      <c r="AE441" s="284">
        <f t="shared" si="242"/>
        <v>40.508497078945858</v>
      </c>
      <c r="AF441" s="284">
        <f t="shared" si="242"/>
        <v>41.600886622085824</v>
      </c>
      <c r="AG441" s="284">
        <f t="shared" si="242"/>
        <v>42.54935119248438</v>
      </c>
      <c r="AH441" s="284">
        <f t="shared" si="242"/>
        <v>43.696588231396071</v>
      </c>
      <c r="AI441" s="284">
        <f t="shared" si="242"/>
        <v>44.692710889487685</v>
      </c>
      <c r="AJ441" s="284">
        <f t="shared" si="242"/>
        <v>45.897544639517996</v>
      </c>
      <c r="AK441" s="284">
        <f t="shared" si="242"/>
        <v>46.943715335462507</v>
      </c>
      <c r="AL441" s="284">
        <f t="shared" si="242"/>
        <v>48.209032677942623</v>
      </c>
    </row>
    <row r="442" spans="1:38" outlineLevel="1" x14ac:dyDescent="0.2">
      <c r="B442" s="290" t="s">
        <v>253</v>
      </c>
      <c r="C442" s="247" t="s">
        <v>254</v>
      </c>
      <c r="D442" s="294"/>
      <c r="E442" s="298"/>
      <c r="F442" s="298"/>
      <c r="G442" s="298">
        <f t="shared" ref="G442:AL442" si="243">G433/G441</f>
        <v>-4.416666666666667</v>
      </c>
      <c r="H442" s="298">
        <f t="shared" si="243"/>
        <v>-9.9444444444444446</v>
      </c>
      <c r="I442" s="298">
        <f t="shared" si="243"/>
        <v>0.90909090909090917</v>
      </c>
      <c r="J442" s="298">
        <f t="shared" si="243"/>
        <v>-0.8732394366197177</v>
      </c>
      <c r="K442" s="298">
        <f t="shared" si="243"/>
        <v>0.59560383261410987</v>
      </c>
      <c r="L442" s="298">
        <f t="shared" si="243"/>
        <v>0.27085441514966446</v>
      </c>
      <c r="M442" s="298">
        <f t="shared" si="243"/>
        <v>9.4898199756576013E-2</v>
      </c>
      <c r="N442" s="298">
        <f t="shared" si="243"/>
        <v>-9.4301938878965819E-2</v>
      </c>
      <c r="O442" s="298">
        <f t="shared" si="243"/>
        <v>-0.26403668590051932</v>
      </c>
      <c r="P442" s="298">
        <f t="shared" si="243"/>
        <v>-0.44162107103064097</v>
      </c>
      <c r="Q442" s="298">
        <f t="shared" si="243"/>
        <v>-0.62783013030542645</v>
      </c>
      <c r="R442" s="298">
        <f t="shared" si="243"/>
        <v>-0.8172685099409186</v>
      </c>
      <c r="S442" s="298">
        <f t="shared" si="243"/>
        <v>-1.0156050266795482</v>
      </c>
      <c r="T442" s="298">
        <f t="shared" si="243"/>
        <v>-1.1850822227427051</v>
      </c>
      <c r="U442" s="298">
        <f t="shared" si="243"/>
        <v>-1.3889205560502258</v>
      </c>
      <c r="V442" s="298">
        <f t="shared" si="243"/>
        <v>-1.5684863483271263</v>
      </c>
      <c r="W442" s="298">
        <f t="shared" si="243"/>
        <v>-1.7667159498494249</v>
      </c>
      <c r="X442" s="298">
        <f t="shared" si="243"/>
        <v>-1.9394487191067225</v>
      </c>
      <c r="Y442" s="298">
        <f t="shared" si="243"/>
        <v>-2.1325149625781186</v>
      </c>
      <c r="Z442" s="298">
        <f t="shared" si="243"/>
        <v>-2.2987382816270596</v>
      </c>
      <c r="AA442" s="298">
        <f t="shared" si="243"/>
        <v>-2.4869979341375226</v>
      </c>
      <c r="AB442" s="298">
        <f t="shared" si="243"/>
        <v>-2.6470807154218852</v>
      </c>
      <c r="AC442" s="298">
        <f t="shared" si="243"/>
        <v>-2.8308220213076516</v>
      </c>
      <c r="AD442" s="298">
        <f t="shared" si="243"/>
        <v>-2.9850312448220504</v>
      </c>
      <c r="AE442" s="298">
        <f t="shared" si="243"/>
        <v>-3.1644912005344361</v>
      </c>
      <c r="AF442" s="298">
        <f t="shared" si="243"/>
        <v>-3.3131658674997526</v>
      </c>
      <c r="AG442" s="298">
        <f t="shared" si="243"/>
        <v>-3.4885409484113556</v>
      </c>
      <c r="AH442" s="298">
        <f t="shared" si="243"/>
        <v>-3.6318636554810637</v>
      </c>
      <c r="AI442" s="298">
        <f t="shared" si="243"/>
        <v>-3.8033211702907499</v>
      </c>
      <c r="AJ442" s="298">
        <f t="shared" si="243"/>
        <v>-3.9414872029539478</v>
      </c>
      <c r="AK442" s="298">
        <f t="shared" si="243"/>
        <v>-4.1091718118243463</v>
      </c>
      <c r="AL442" s="298">
        <f t="shared" si="243"/>
        <v>-4.242389314074317</v>
      </c>
    </row>
    <row r="443" spans="1:38" outlineLevel="1" x14ac:dyDescent="0.2">
      <c r="B443" s="290" t="s">
        <v>255</v>
      </c>
      <c r="C443" s="247" t="s">
        <v>254</v>
      </c>
      <c r="D443" s="294"/>
      <c r="E443" s="298"/>
      <c r="F443" s="298"/>
      <c r="G443" s="298">
        <f t="shared" ref="G443:AL443" si="244">G439/G441</f>
        <v>0.50000000000000022</v>
      </c>
      <c r="H443" s="298">
        <f t="shared" si="244"/>
        <v>-7.3055555555555571</v>
      </c>
      <c r="I443" s="298">
        <f t="shared" si="244"/>
        <v>-1.6363636363636365</v>
      </c>
      <c r="J443" s="298">
        <f t="shared" si="244"/>
        <v>-3.1126760563380276</v>
      </c>
      <c r="K443" s="298">
        <f t="shared" si="244"/>
        <v>1.9666031014134873</v>
      </c>
      <c r="L443" s="298">
        <f t="shared" si="244"/>
        <v>1.2361468118049075</v>
      </c>
      <c r="M443" s="298">
        <f t="shared" si="244"/>
        <v>0.9060304843867365</v>
      </c>
      <c r="N443" s="298">
        <f t="shared" si="244"/>
        <v>0.64247883403246331</v>
      </c>
      <c r="O443" s="298">
        <f t="shared" si="244"/>
        <v>0.40954522574665275</v>
      </c>
      <c r="P443" s="298">
        <f t="shared" si="244"/>
        <v>0.18114992790922316</v>
      </c>
      <c r="Q443" s="298">
        <f t="shared" si="244"/>
        <v>-5.327444094314164E-2</v>
      </c>
      <c r="R443" s="298">
        <f t="shared" si="244"/>
        <v>-0.2578752986485921</v>
      </c>
      <c r="S443" s="298">
        <f t="shared" si="244"/>
        <v>-0.47900614964820865</v>
      </c>
      <c r="T443" s="298">
        <f t="shared" si="244"/>
        <v>-0.67171151518544736</v>
      </c>
      <c r="U443" s="298">
        <f t="shared" si="244"/>
        <v>-0.88700218796002495</v>
      </c>
      <c r="V443" s="298">
        <f t="shared" si="244"/>
        <v>-1.079758927575261</v>
      </c>
      <c r="W443" s="298">
        <f t="shared" si="244"/>
        <v>-1.288889651054467</v>
      </c>
      <c r="X443" s="298">
        <f t="shared" si="244"/>
        <v>-1.4741779896090741</v>
      </c>
      <c r="Y443" s="298">
        <f t="shared" si="244"/>
        <v>-1.6776207773224723</v>
      </c>
      <c r="Z443" s="298">
        <f t="shared" si="244"/>
        <v>-1.8557950266456005</v>
      </c>
      <c r="AA443" s="298">
        <f t="shared" si="244"/>
        <v>-2.0539319907185365</v>
      </c>
      <c r="AB443" s="298">
        <f t="shared" si="244"/>
        <v>-2.2253903061605755</v>
      </c>
      <c r="AC443" s="298">
        <f t="shared" si="244"/>
        <v>-2.4185338046222795</v>
      </c>
      <c r="AD443" s="298">
        <f t="shared" si="244"/>
        <v>-2.5835709863941849</v>
      </c>
      <c r="AE443" s="298">
        <f t="shared" si="244"/>
        <v>-2.7719809583249324</v>
      </c>
      <c r="AF443" s="298">
        <f t="shared" si="244"/>
        <v>-2.9309624749509333</v>
      </c>
      <c r="AG443" s="298">
        <f t="shared" si="244"/>
        <v>-3.114857224585069</v>
      </c>
      <c r="AH443" s="298">
        <f t="shared" si="244"/>
        <v>-3.2679908534261006</v>
      </c>
      <c r="AI443" s="298">
        <f t="shared" si="244"/>
        <v>-3.4475584590218773</v>
      </c>
      <c r="AJ443" s="298">
        <f t="shared" si="244"/>
        <v>-3.595063442709701</v>
      </c>
      <c r="AK443" s="298">
        <f t="shared" si="244"/>
        <v>-3.7704683264615526</v>
      </c>
      <c r="AL443" s="298">
        <f t="shared" si="244"/>
        <v>-3.9125756024775931</v>
      </c>
    </row>
    <row r="444" spans="1:38" outlineLevel="1" x14ac:dyDescent="0.2">
      <c r="B444" s="290"/>
      <c r="C444" s="247"/>
      <c r="D444" s="294"/>
      <c r="E444" s="298"/>
      <c r="F444" s="298"/>
      <c r="G444" s="298"/>
      <c r="H444" s="298"/>
      <c r="I444" s="298"/>
      <c r="J444" s="298"/>
      <c r="K444" s="298"/>
      <c r="L444" s="298"/>
      <c r="M444" s="298"/>
      <c r="N444" s="298"/>
      <c r="O444" s="298"/>
      <c r="P444" s="298"/>
      <c r="Q444" s="298"/>
      <c r="R444" s="298"/>
      <c r="S444" s="298"/>
      <c r="T444" s="298"/>
      <c r="U444" s="298"/>
      <c r="V444" s="298"/>
      <c r="W444" s="298"/>
      <c r="X444" s="298"/>
      <c r="Y444" s="298"/>
      <c r="Z444" s="298"/>
      <c r="AA444" s="298"/>
      <c r="AB444" s="298"/>
      <c r="AC444" s="298"/>
      <c r="AD444" s="298"/>
      <c r="AE444" s="298"/>
      <c r="AF444" s="298"/>
      <c r="AG444" s="298"/>
      <c r="AH444" s="298"/>
      <c r="AI444" s="298"/>
      <c r="AJ444" s="298"/>
      <c r="AK444" s="298"/>
      <c r="AL444" s="298"/>
    </row>
    <row r="445" spans="1:38" s="222" customFormat="1" x14ac:dyDescent="0.2">
      <c r="A445" s="222" t="s">
        <v>7</v>
      </c>
      <c r="B445" s="276" t="s">
        <v>256</v>
      </c>
      <c r="C445" s="277"/>
      <c r="E445" s="278"/>
      <c r="F445" s="278"/>
      <c r="G445" s="278"/>
      <c r="H445" s="278"/>
      <c r="I445" s="278"/>
      <c r="J445" s="278"/>
      <c r="K445" s="278"/>
      <c r="L445" s="278"/>
      <c r="M445" s="278"/>
      <c r="N445" s="278"/>
      <c r="O445" s="278"/>
      <c r="P445" s="278"/>
      <c r="Q445" s="278"/>
      <c r="R445" s="278"/>
      <c r="S445" s="278"/>
      <c r="T445" s="278"/>
      <c r="U445" s="278"/>
      <c r="V445" s="278"/>
      <c r="W445" s="278"/>
      <c r="X445" s="278"/>
      <c r="Y445" s="278"/>
      <c r="Z445" s="278"/>
      <c r="AA445" s="278"/>
      <c r="AB445" s="278"/>
      <c r="AC445" s="278"/>
      <c r="AD445" s="278"/>
      <c r="AE445" s="278"/>
      <c r="AF445" s="278"/>
      <c r="AG445" s="278"/>
      <c r="AH445" s="278"/>
      <c r="AI445" s="278"/>
      <c r="AJ445" s="278"/>
      <c r="AK445" s="278"/>
      <c r="AL445" s="278"/>
    </row>
    <row r="446" spans="1:38" outlineLevel="1" x14ac:dyDescent="0.2"/>
    <row r="447" spans="1:38" outlineLevel="1" x14ac:dyDescent="0.2">
      <c r="B447" s="246" t="s">
        <v>257</v>
      </c>
    </row>
    <row r="448" spans="1:38" outlineLevel="1" x14ac:dyDescent="0.2">
      <c r="B448" s="263" t="s">
        <v>258</v>
      </c>
      <c r="G448" s="236">
        <v>0</v>
      </c>
      <c r="H448" s="306">
        <v>78.2</v>
      </c>
      <c r="I448" s="306">
        <v>87.7</v>
      </c>
      <c r="J448" s="306">
        <v>90.1</v>
      </c>
      <c r="K448" s="256">
        <f t="shared" ref="K448:AL448" si="245">K455</f>
        <v>90.1</v>
      </c>
      <c r="L448" s="256">
        <f t="shared" si="245"/>
        <v>90.1</v>
      </c>
      <c r="M448" s="256">
        <f t="shared" si="245"/>
        <v>90.1</v>
      </c>
      <c r="N448" s="256">
        <f t="shared" si="245"/>
        <v>90.1</v>
      </c>
      <c r="O448" s="256">
        <f t="shared" si="245"/>
        <v>90.1</v>
      </c>
      <c r="P448" s="256">
        <f t="shared" si="245"/>
        <v>90.1</v>
      </c>
      <c r="Q448" s="256">
        <f t="shared" si="245"/>
        <v>90.1</v>
      </c>
      <c r="R448" s="256">
        <f t="shared" si="245"/>
        <v>90.1</v>
      </c>
      <c r="S448" s="256">
        <f t="shared" si="245"/>
        <v>90.1</v>
      </c>
      <c r="T448" s="256">
        <f t="shared" si="245"/>
        <v>90.1</v>
      </c>
      <c r="U448" s="256">
        <f t="shared" si="245"/>
        <v>90.1</v>
      </c>
      <c r="V448" s="256">
        <f t="shared" si="245"/>
        <v>90.1</v>
      </c>
      <c r="W448" s="256">
        <f t="shared" si="245"/>
        <v>90.1</v>
      </c>
      <c r="X448" s="256">
        <f t="shared" si="245"/>
        <v>90.1</v>
      </c>
      <c r="Y448" s="256">
        <f t="shared" si="245"/>
        <v>90.1</v>
      </c>
      <c r="Z448" s="256">
        <f t="shared" si="245"/>
        <v>90.1</v>
      </c>
      <c r="AA448" s="256">
        <f t="shared" si="245"/>
        <v>90.1</v>
      </c>
      <c r="AB448" s="256">
        <f t="shared" si="245"/>
        <v>90.1</v>
      </c>
      <c r="AC448" s="256">
        <f t="shared" si="245"/>
        <v>90.1</v>
      </c>
      <c r="AD448" s="256">
        <f t="shared" si="245"/>
        <v>90.1</v>
      </c>
      <c r="AE448" s="256">
        <f t="shared" si="245"/>
        <v>90.1</v>
      </c>
      <c r="AF448" s="256">
        <f t="shared" si="245"/>
        <v>90.1</v>
      </c>
      <c r="AG448" s="256">
        <f t="shared" si="245"/>
        <v>90.1</v>
      </c>
      <c r="AH448" s="256">
        <f t="shared" si="245"/>
        <v>90.1</v>
      </c>
      <c r="AI448" s="256">
        <f t="shared" si="245"/>
        <v>90.1</v>
      </c>
      <c r="AJ448" s="256">
        <f t="shared" si="245"/>
        <v>90.1</v>
      </c>
      <c r="AK448" s="256">
        <f t="shared" si="245"/>
        <v>90.1</v>
      </c>
      <c r="AL448" s="256">
        <f t="shared" si="245"/>
        <v>90.1</v>
      </c>
    </row>
    <row r="449" spans="1:38" outlineLevel="1" x14ac:dyDescent="0.2">
      <c r="B449" s="263" t="s">
        <v>101</v>
      </c>
      <c r="F449" s="533"/>
      <c r="G449" s="533">
        <v>0</v>
      </c>
      <c r="H449" s="533">
        <v>0</v>
      </c>
      <c r="I449" s="533">
        <v>0</v>
      </c>
      <c r="J449" s="533">
        <v>0</v>
      </c>
      <c r="K449" s="533">
        <v>0</v>
      </c>
      <c r="L449" s="533">
        <v>0</v>
      </c>
      <c r="M449" s="533">
        <v>0</v>
      </c>
      <c r="N449" s="533">
        <v>0</v>
      </c>
      <c r="O449" s="533">
        <v>0</v>
      </c>
      <c r="P449" s="533">
        <v>0</v>
      </c>
      <c r="Q449" s="533">
        <v>0</v>
      </c>
      <c r="R449" s="533">
        <v>0</v>
      </c>
      <c r="S449" s="533">
        <v>0</v>
      </c>
      <c r="T449" s="533">
        <v>0</v>
      </c>
      <c r="U449" s="533">
        <v>0</v>
      </c>
      <c r="V449" s="533">
        <v>0</v>
      </c>
      <c r="W449" s="533">
        <v>0</v>
      </c>
      <c r="X449" s="533">
        <v>0</v>
      </c>
      <c r="Y449" s="533">
        <v>0</v>
      </c>
      <c r="Z449" s="533">
        <v>0</v>
      </c>
      <c r="AA449" s="533">
        <v>0</v>
      </c>
      <c r="AB449" s="533">
        <v>0</v>
      </c>
      <c r="AC449" s="533">
        <v>0</v>
      </c>
      <c r="AD449" s="533">
        <v>0</v>
      </c>
      <c r="AE449" s="533">
        <v>0</v>
      </c>
      <c r="AF449" s="533">
        <v>0</v>
      </c>
      <c r="AG449" s="533">
        <v>0</v>
      </c>
      <c r="AH449" s="533">
        <v>0</v>
      </c>
      <c r="AI449" s="533">
        <v>0</v>
      </c>
      <c r="AJ449" s="533">
        <v>0</v>
      </c>
      <c r="AK449" s="533">
        <v>0</v>
      </c>
      <c r="AL449" s="533">
        <v>0</v>
      </c>
    </row>
    <row r="450" spans="1:38" s="237" customFormat="1" outlineLevel="1" x14ac:dyDescent="0.2">
      <c r="B450" s="272" t="s">
        <v>103</v>
      </c>
      <c r="C450" s="247"/>
      <c r="E450" s="248"/>
      <c r="F450" s="248"/>
      <c r="G450" s="248">
        <f>G296</f>
        <v>0</v>
      </c>
      <c r="H450" s="248">
        <f>H296</f>
        <v>78.2</v>
      </c>
      <c r="I450" s="248">
        <f>I296</f>
        <v>87.7</v>
      </c>
      <c r="J450" s="248">
        <f>J296</f>
        <v>90.1</v>
      </c>
      <c r="K450" s="537">
        <f t="shared" ref="K450:AL450" si="246">SUM(K448:K449)</f>
        <v>90.1</v>
      </c>
      <c r="L450" s="537">
        <f t="shared" si="246"/>
        <v>90.1</v>
      </c>
      <c r="M450" s="537">
        <f t="shared" si="246"/>
        <v>90.1</v>
      </c>
      <c r="N450" s="537">
        <f t="shared" si="246"/>
        <v>90.1</v>
      </c>
      <c r="O450" s="537">
        <f t="shared" si="246"/>
        <v>90.1</v>
      </c>
      <c r="P450" s="537">
        <f t="shared" si="246"/>
        <v>90.1</v>
      </c>
      <c r="Q450" s="537">
        <f t="shared" si="246"/>
        <v>90.1</v>
      </c>
      <c r="R450" s="537">
        <f t="shared" si="246"/>
        <v>90.1</v>
      </c>
      <c r="S450" s="537">
        <f t="shared" si="246"/>
        <v>90.1</v>
      </c>
      <c r="T450" s="537">
        <f t="shared" si="246"/>
        <v>90.1</v>
      </c>
      <c r="U450" s="537">
        <f t="shared" si="246"/>
        <v>90.1</v>
      </c>
      <c r="V450" s="537">
        <f t="shared" si="246"/>
        <v>90.1</v>
      </c>
      <c r="W450" s="537">
        <f t="shared" si="246"/>
        <v>90.1</v>
      </c>
      <c r="X450" s="537">
        <f t="shared" si="246"/>
        <v>90.1</v>
      </c>
      <c r="Y450" s="537">
        <f t="shared" si="246"/>
        <v>90.1</v>
      </c>
      <c r="Z450" s="537">
        <f t="shared" si="246"/>
        <v>90.1</v>
      </c>
      <c r="AA450" s="537">
        <f t="shared" si="246"/>
        <v>90.1</v>
      </c>
      <c r="AB450" s="537">
        <f t="shared" si="246"/>
        <v>90.1</v>
      </c>
      <c r="AC450" s="537">
        <f t="shared" si="246"/>
        <v>90.1</v>
      </c>
      <c r="AD450" s="537">
        <f t="shared" si="246"/>
        <v>90.1</v>
      </c>
      <c r="AE450" s="537">
        <f t="shared" si="246"/>
        <v>90.1</v>
      </c>
      <c r="AF450" s="537">
        <f t="shared" si="246"/>
        <v>90.1</v>
      </c>
      <c r="AG450" s="537">
        <f t="shared" si="246"/>
        <v>90.1</v>
      </c>
      <c r="AH450" s="537">
        <f t="shared" si="246"/>
        <v>90.1</v>
      </c>
      <c r="AI450" s="537">
        <f t="shared" si="246"/>
        <v>90.1</v>
      </c>
      <c r="AJ450" s="537">
        <f t="shared" si="246"/>
        <v>90.1</v>
      </c>
      <c r="AK450" s="537">
        <f t="shared" si="246"/>
        <v>90.1</v>
      </c>
      <c r="AL450" s="537">
        <f t="shared" si="246"/>
        <v>90.1</v>
      </c>
    </row>
    <row r="451" spans="1:38" outlineLevel="1" x14ac:dyDescent="0.2">
      <c r="B451" s="246"/>
    </row>
    <row r="452" spans="1:38" outlineLevel="1" x14ac:dyDescent="0.2">
      <c r="B452" s="246" t="s">
        <v>259</v>
      </c>
    </row>
    <row r="453" spans="1:38" outlineLevel="1" x14ac:dyDescent="0.2">
      <c r="B453" s="295" t="s">
        <v>260</v>
      </c>
      <c r="C453" s="205" t="s">
        <v>39</v>
      </c>
      <c r="E453" s="256"/>
      <c r="F453" s="300"/>
      <c r="G453" s="372"/>
      <c r="H453" s="372">
        <v>0.19900000000000001</v>
      </c>
      <c r="I453" s="372">
        <v>0.27700000000000002</v>
      </c>
      <c r="J453" s="372">
        <v>0.27700000000000002</v>
      </c>
      <c r="K453" s="299">
        <f t="shared" ref="K453:AL453" si="247">J453</f>
        <v>0.27700000000000002</v>
      </c>
      <c r="L453" s="299">
        <f t="shared" si="247"/>
        <v>0.27700000000000002</v>
      </c>
      <c r="M453" s="299">
        <f t="shared" si="247"/>
        <v>0.27700000000000002</v>
      </c>
      <c r="N453" s="299">
        <f t="shared" si="247"/>
        <v>0.27700000000000002</v>
      </c>
      <c r="O453" s="299">
        <f t="shared" si="247"/>
        <v>0.27700000000000002</v>
      </c>
      <c r="P453" s="299">
        <f t="shared" si="247"/>
        <v>0.27700000000000002</v>
      </c>
      <c r="Q453" s="299">
        <f t="shared" si="247"/>
        <v>0.27700000000000002</v>
      </c>
      <c r="R453" s="299">
        <f t="shared" si="247"/>
        <v>0.27700000000000002</v>
      </c>
      <c r="S453" s="299">
        <f t="shared" si="247"/>
        <v>0.27700000000000002</v>
      </c>
      <c r="T453" s="299">
        <f t="shared" si="247"/>
        <v>0.27700000000000002</v>
      </c>
      <c r="U453" s="299">
        <f t="shared" si="247"/>
        <v>0.27700000000000002</v>
      </c>
      <c r="V453" s="299">
        <f t="shared" si="247"/>
        <v>0.27700000000000002</v>
      </c>
      <c r="W453" s="299">
        <f t="shared" si="247"/>
        <v>0.27700000000000002</v>
      </c>
      <c r="X453" s="299">
        <f t="shared" si="247"/>
        <v>0.27700000000000002</v>
      </c>
      <c r="Y453" s="299">
        <f t="shared" si="247"/>
        <v>0.27700000000000002</v>
      </c>
      <c r="Z453" s="299">
        <f t="shared" si="247"/>
        <v>0.27700000000000002</v>
      </c>
      <c r="AA453" s="299">
        <f t="shared" si="247"/>
        <v>0.27700000000000002</v>
      </c>
      <c r="AB453" s="299">
        <f t="shared" si="247"/>
        <v>0.27700000000000002</v>
      </c>
      <c r="AC453" s="299">
        <f t="shared" si="247"/>
        <v>0.27700000000000002</v>
      </c>
      <c r="AD453" s="299">
        <f t="shared" si="247"/>
        <v>0.27700000000000002</v>
      </c>
      <c r="AE453" s="299">
        <f t="shared" si="247"/>
        <v>0.27700000000000002</v>
      </c>
      <c r="AF453" s="299">
        <f t="shared" si="247"/>
        <v>0.27700000000000002</v>
      </c>
      <c r="AG453" s="299">
        <f t="shared" si="247"/>
        <v>0.27700000000000002</v>
      </c>
      <c r="AH453" s="299">
        <f t="shared" si="247"/>
        <v>0.27700000000000002</v>
      </c>
      <c r="AI453" s="299">
        <f t="shared" si="247"/>
        <v>0.27700000000000002</v>
      </c>
      <c r="AJ453" s="299">
        <f t="shared" si="247"/>
        <v>0.27700000000000002</v>
      </c>
      <c r="AK453" s="299">
        <f t="shared" si="247"/>
        <v>0.27700000000000002</v>
      </c>
      <c r="AL453" s="299">
        <f t="shared" si="247"/>
        <v>0.27700000000000002</v>
      </c>
    </row>
    <row r="454" spans="1:38" outlineLevel="1" x14ac:dyDescent="0.2">
      <c r="B454" s="295" t="s">
        <v>261</v>
      </c>
      <c r="C454" s="205" t="s">
        <v>37</v>
      </c>
      <c r="E454" s="284"/>
      <c r="F454" s="284"/>
      <c r="G454" s="284"/>
      <c r="H454" s="284">
        <f>H448/H453</f>
        <v>392.964824120603</v>
      </c>
      <c r="I454" s="284">
        <f>I448/I453</f>
        <v>316.60649819494586</v>
      </c>
      <c r="J454" s="284">
        <f>J448/J453</f>
        <v>325.27075812274364</v>
      </c>
      <c r="K454" s="297">
        <f t="shared" ref="K454:AL454" si="248">J454</f>
        <v>325.27075812274364</v>
      </c>
      <c r="L454" s="297">
        <f t="shared" si="248"/>
        <v>325.27075812274364</v>
      </c>
      <c r="M454" s="297">
        <f t="shared" si="248"/>
        <v>325.27075812274364</v>
      </c>
      <c r="N454" s="297">
        <f t="shared" si="248"/>
        <v>325.27075812274364</v>
      </c>
      <c r="O454" s="297">
        <f t="shared" si="248"/>
        <v>325.27075812274364</v>
      </c>
      <c r="P454" s="297">
        <f t="shared" si="248"/>
        <v>325.27075812274364</v>
      </c>
      <c r="Q454" s="297">
        <f t="shared" si="248"/>
        <v>325.27075812274364</v>
      </c>
      <c r="R454" s="297">
        <f t="shared" si="248"/>
        <v>325.27075812274364</v>
      </c>
      <c r="S454" s="297">
        <f t="shared" si="248"/>
        <v>325.27075812274364</v>
      </c>
      <c r="T454" s="297">
        <f t="shared" si="248"/>
        <v>325.27075812274364</v>
      </c>
      <c r="U454" s="297">
        <f t="shared" si="248"/>
        <v>325.27075812274364</v>
      </c>
      <c r="V454" s="297">
        <f t="shared" si="248"/>
        <v>325.27075812274364</v>
      </c>
      <c r="W454" s="297">
        <f t="shared" si="248"/>
        <v>325.27075812274364</v>
      </c>
      <c r="X454" s="297">
        <f t="shared" si="248"/>
        <v>325.27075812274364</v>
      </c>
      <c r="Y454" s="297">
        <f t="shared" si="248"/>
        <v>325.27075812274364</v>
      </c>
      <c r="Z454" s="297">
        <f t="shared" si="248"/>
        <v>325.27075812274364</v>
      </c>
      <c r="AA454" s="297">
        <f t="shared" si="248"/>
        <v>325.27075812274364</v>
      </c>
      <c r="AB454" s="297">
        <f t="shared" si="248"/>
        <v>325.27075812274364</v>
      </c>
      <c r="AC454" s="297">
        <f t="shared" si="248"/>
        <v>325.27075812274364</v>
      </c>
      <c r="AD454" s="297">
        <f t="shared" si="248"/>
        <v>325.27075812274364</v>
      </c>
      <c r="AE454" s="297">
        <f t="shared" si="248"/>
        <v>325.27075812274364</v>
      </c>
      <c r="AF454" s="297">
        <f t="shared" si="248"/>
        <v>325.27075812274364</v>
      </c>
      <c r="AG454" s="297">
        <f t="shared" si="248"/>
        <v>325.27075812274364</v>
      </c>
      <c r="AH454" s="297">
        <f t="shared" si="248"/>
        <v>325.27075812274364</v>
      </c>
      <c r="AI454" s="297">
        <f t="shared" si="248"/>
        <v>325.27075812274364</v>
      </c>
      <c r="AJ454" s="297">
        <f t="shared" si="248"/>
        <v>325.27075812274364</v>
      </c>
      <c r="AK454" s="297">
        <f t="shared" si="248"/>
        <v>325.27075812274364</v>
      </c>
      <c r="AL454" s="297">
        <f t="shared" si="248"/>
        <v>325.27075812274364</v>
      </c>
    </row>
    <row r="455" spans="1:38" s="237" customFormat="1" outlineLevel="1" x14ac:dyDescent="0.2">
      <c r="B455" s="290" t="s">
        <v>262</v>
      </c>
      <c r="C455" s="247" t="s">
        <v>37</v>
      </c>
      <c r="E455" s="534"/>
      <c r="F455" s="229"/>
      <c r="G455" s="229"/>
      <c r="H455" s="229">
        <f>H448</f>
        <v>78.2</v>
      </c>
      <c r="I455" s="229">
        <f>I448</f>
        <v>87.7</v>
      </c>
      <c r="J455" s="229">
        <f>J448</f>
        <v>90.1</v>
      </c>
      <c r="K455" s="229">
        <f t="shared" ref="K455:AL455" si="249">K453*K454</f>
        <v>90.1</v>
      </c>
      <c r="L455" s="229">
        <f t="shared" si="249"/>
        <v>90.1</v>
      </c>
      <c r="M455" s="229">
        <f t="shared" si="249"/>
        <v>90.1</v>
      </c>
      <c r="N455" s="229">
        <f t="shared" si="249"/>
        <v>90.1</v>
      </c>
      <c r="O455" s="229">
        <f t="shared" si="249"/>
        <v>90.1</v>
      </c>
      <c r="P455" s="229">
        <f t="shared" si="249"/>
        <v>90.1</v>
      </c>
      <c r="Q455" s="229">
        <f t="shared" si="249"/>
        <v>90.1</v>
      </c>
      <c r="R455" s="229">
        <f t="shared" si="249"/>
        <v>90.1</v>
      </c>
      <c r="S455" s="229">
        <f t="shared" si="249"/>
        <v>90.1</v>
      </c>
      <c r="T455" s="229">
        <f t="shared" si="249"/>
        <v>90.1</v>
      </c>
      <c r="U455" s="229">
        <f t="shared" si="249"/>
        <v>90.1</v>
      </c>
      <c r="V455" s="229">
        <f t="shared" si="249"/>
        <v>90.1</v>
      </c>
      <c r="W455" s="229">
        <f t="shared" si="249"/>
        <v>90.1</v>
      </c>
      <c r="X455" s="229">
        <f t="shared" si="249"/>
        <v>90.1</v>
      </c>
      <c r="Y455" s="229">
        <f t="shared" si="249"/>
        <v>90.1</v>
      </c>
      <c r="Z455" s="229">
        <f t="shared" si="249"/>
        <v>90.1</v>
      </c>
      <c r="AA455" s="229">
        <f t="shared" si="249"/>
        <v>90.1</v>
      </c>
      <c r="AB455" s="229">
        <f t="shared" si="249"/>
        <v>90.1</v>
      </c>
      <c r="AC455" s="229">
        <f t="shared" si="249"/>
        <v>90.1</v>
      </c>
      <c r="AD455" s="229">
        <f t="shared" si="249"/>
        <v>90.1</v>
      </c>
      <c r="AE455" s="229">
        <f t="shared" si="249"/>
        <v>90.1</v>
      </c>
      <c r="AF455" s="229">
        <f t="shared" si="249"/>
        <v>90.1</v>
      </c>
      <c r="AG455" s="229">
        <f t="shared" si="249"/>
        <v>90.1</v>
      </c>
      <c r="AH455" s="229">
        <f t="shared" si="249"/>
        <v>90.1</v>
      </c>
      <c r="AI455" s="229">
        <f t="shared" si="249"/>
        <v>90.1</v>
      </c>
      <c r="AJ455" s="229">
        <f t="shared" si="249"/>
        <v>90.1</v>
      </c>
      <c r="AK455" s="229">
        <f t="shared" si="249"/>
        <v>90.1</v>
      </c>
      <c r="AL455" s="229">
        <f t="shared" si="249"/>
        <v>90.1</v>
      </c>
    </row>
    <row r="456" spans="1:38" outlineLevel="1" x14ac:dyDescent="0.2">
      <c r="B456" s="263"/>
      <c r="E456" s="292"/>
      <c r="F456" s="292"/>
      <c r="G456" s="292"/>
      <c r="H456" s="292"/>
      <c r="I456" s="292"/>
      <c r="J456" s="29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row>
    <row r="457" spans="1:38" outlineLevel="1" x14ac:dyDescent="0.2">
      <c r="B457" s="295" t="s">
        <v>260</v>
      </c>
      <c r="C457" s="205" t="s">
        <v>39</v>
      </c>
      <c r="E457" s="256"/>
      <c r="F457" s="300"/>
      <c r="G457" s="300"/>
      <c r="H457" s="372"/>
      <c r="I457" s="240">
        <f t="shared" ref="I457:AL457" si="250">H453</f>
        <v>0.19900000000000001</v>
      </c>
      <c r="J457" s="372"/>
      <c r="K457" s="240">
        <f t="shared" si="250"/>
        <v>0.27700000000000002</v>
      </c>
      <c r="L457" s="240">
        <f t="shared" si="250"/>
        <v>0.27700000000000002</v>
      </c>
      <c r="M457" s="240">
        <f t="shared" si="250"/>
        <v>0.27700000000000002</v>
      </c>
      <c r="N457" s="240">
        <f t="shared" si="250"/>
        <v>0.27700000000000002</v>
      </c>
      <c r="O457" s="240">
        <f t="shared" si="250"/>
        <v>0.27700000000000002</v>
      </c>
      <c r="P457" s="240">
        <f t="shared" si="250"/>
        <v>0.27700000000000002</v>
      </c>
      <c r="Q457" s="240">
        <f t="shared" si="250"/>
        <v>0.27700000000000002</v>
      </c>
      <c r="R457" s="240">
        <f t="shared" si="250"/>
        <v>0.27700000000000002</v>
      </c>
      <c r="S457" s="240">
        <f t="shared" si="250"/>
        <v>0.27700000000000002</v>
      </c>
      <c r="T457" s="240">
        <f t="shared" si="250"/>
        <v>0.27700000000000002</v>
      </c>
      <c r="U457" s="240">
        <f t="shared" si="250"/>
        <v>0.27700000000000002</v>
      </c>
      <c r="V457" s="240">
        <f t="shared" si="250"/>
        <v>0.27700000000000002</v>
      </c>
      <c r="W457" s="240">
        <f t="shared" si="250"/>
        <v>0.27700000000000002</v>
      </c>
      <c r="X457" s="240">
        <f t="shared" si="250"/>
        <v>0.27700000000000002</v>
      </c>
      <c r="Y457" s="240">
        <f t="shared" si="250"/>
        <v>0.27700000000000002</v>
      </c>
      <c r="Z457" s="240">
        <f t="shared" si="250"/>
        <v>0.27700000000000002</v>
      </c>
      <c r="AA457" s="240">
        <f t="shared" si="250"/>
        <v>0.27700000000000002</v>
      </c>
      <c r="AB457" s="240">
        <f t="shared" si="250"/>
        <v>0.27700000000000002</v>
      </c>
      <c r="AC457" s="240">
        <f t="shared" si="250"/>
        <v>0.27700000000000002</v>
      </c>
      <c r="AD457" s="240">
        <f t="shared" si="250"/>
        <v>0.27700000000000002</v>
      </c>
      <c r="AE457" s="240">
        <f t="shared" si="250"/>
        <v>0.27700000000000002</v>
      </c>
      <c r="AF457" s="240">
        <f t="shared" si="250"/>
        <v>0.27700000000000002</v>
      </c>
      <c r="AG457" s="240">
        <f t="shared" si="250"/>
        <v>0.27700000000000002</v>
      </c>
      <c r="AH457" s="240">
        <f t="shared" si="250"/>
        <v>0.27700000000000002</v>
      </c>
      <c r="AI457" s="240">
        <f t="shared" si="250"/>
        <v>0.27700000000000002</v>
      </c>
      <c r="AJ457" s="240">
        <f t="shared" si="250"/>
        <v>0.27700000000000002</v>
      </c>
      <c r="AK457" s="240">
        <f t="shared" si="250"/>
        <v>0.27700000000000002</v>
      </c>
      <c r="AL457" s="240">
        <f t="shared" si="250"/>
        <v>0.27700000000000002</v>
      </c>
    </row>
    <row r="458" spans="1:38" outlineLevel="1" x14ac:dyDescent="0.2">
      <c r="B458" s="295" t="s">
        <v>261</v>
      </c>
      <c r="C458" s="205" t="s">
        <v>37</v>
      </c>
      <c r="E458" s="256"/>
      <c r="F458" s="300"/>
      <c r="G458" s="300"/>
      <c r="H458" s="372"/>
      <c r="I458" s="284">
        <f t="shared" ref="I458:AL458" si="251">I457*I454</f>
        <v>63.004693140794231</v>
      </c>
      <c r="J458" s="372"/>
      <c r="K458" s="284">
        <f t="shared" si="251"/>
        <v>90.1</v>
      </c>
      <c r="L458" s="284">
        <f t="shared" si="251"/>
        <v>90.1</v>
      </c>
      <c r="M458" s="284">
        <f t="shared" si="251"/>
        <v>90.1</v>
      </c>
      <c r="N458" s="284">
        <f t="shared" si="251"/>
        <v>90.1</v>
      </c>
      <c r="O458" s="284">
        <f t="shared" si="251"/>
        <v>90.1</v>
      </c>
      <c r="P458" s="284">
        <f t="shared" si="251"/>
        <v>90.1</v>
      </c>
      <c r="Q458" s="284">
        <f t="shared" si="251"/>
        <v>90.1</v>
      </c>
      <c r="R458" s="284">
        <f t="shared" si="251"/>
        <v>90.1</v>
      </c>
      <c r="S458" s="284">
        <f t="shared" si="251"/>
        <v>90.1</v>
      </c>
      <c r="T458" s="284">
        <f t="shared" si="251"/>
        <v>90.1</v>
      </c>
      <c r="U458" s="284">
        <f t="shared" si="251"/>
        <v>90.1</v>
      </c>
      <c r="V458" s="284">
        <f t="shared" si="251"/>
        <v>90.1</v>
      </c>
      <c r="W458" s="284">
        <f t="shared" si="251"/>
        <v>90.1</v>
      </c>
      <c r="X458" s="284">
        <f t="shared" si="251"/>
        <v>90.1</v>
      </c>
      <c r="Y458" s="284">
        <f t="shared" si="251"/>
        <v>90.1</v>
      </c>
      <c r="Z458" s="284">
        <f t="shared" si="251"/>
        <v>90.1</v>
      </c>
      <c r="AA458" s="284">
        <f t="shared" si="251"/>
        <v>90.1</v>
      </c>
      <c r="AB458" s="284">
        <f t="shared" si="251"/>
        <v>90.1</v>
      </c>
      <c r="AC458" s="284">
        <f t="shared" si="251"/>
        <v>90.1</v>
      </c>
      <c r="AD458" s="284">
        <f t="shared" si="251"/>
        <v>90.1</v>
      </c>
      <c r="AE458" s="284">
        <f t="shared" si="251"/>
        <v>90.1</v>
      </c>
      <c r="AF458" s="284">
        <f t="shared" si="251"/>
        <v>90.1</v>
      </c>
      <c r="AG458" s="284">
        <f t="shared" si="251"/>
        <v>90.1</v>
      </c>
      <c r="AH458" s="284">
        <f t="shared" si="251"/>
        <v>90.1</v>
      </c>
      <c r="AI458" s="284">
        <f t="shared" si="251"/>
        <v>90.1</v>
      </c>
      <c r="AJ458" s="284">
        <f t="shared" si="251"/>
        <v>90.1</v>
      </c>
      <c r="AK458" s="284">
        <f t="shared" si="251"/>
        <v>90.1</v>
      </c>
      <c r="AL458" s="284">
        <f t="shared" si="251"/>
        <v>90.1</v>
      </c>
    </row>
    <row r="459" spans="1:38" s="237" customFormat="1" outlineLevel="1" x14ac:dyDescent="0.2">
      <c r="B459" s="290" t="s">
        <v>263</v>
      </c>
      <c r="C459" s="247" t="s">
        <v>37</v>
      </c>
      <c r="E459" s="248"/>
      <c r="F459" s="535"/>
      <c r="G459" s="535"/>
      <c r="H459" s="536"/>
      <c r="I459" s="288">
        <f t="shared" ref="I459:AL459" si="252">I458-H455</f>
        <v>-15.195306859205772</v>
      </c>
      <c r="J459" s="536"/>
      <c r="K459" s="288">
        <f t="shared" si="252"/>
        <v>0</v>
      </c>
      <c r="L459" s="288">
        <f t="shared" si="252"/>
        <v>0</v>
      </c>
      <c r="M459" s="288">
        <f t="shared" si="252"/>
        <v>0</v>
      </c>
      <c r="N459" s="288">
        <f t="shared" si="252"/>
        <v>0</v>
      </c>
      <c r="O459" s="288">
        <f t="shared" si="252"/>
        <v>0</v>
      </c>
      <c r="P459" s="288">
        <f t="shared" si="252"/>
        <v>0</v>
      </c>
      <c r="Q459" s="288">
        <f t="shared" si="252"/>
        <v>0</v>
      </c>
      <c r="R459" s="288">
        <f t="shared" si="252"/>
        <v>0</v>
      </c>
      <c r="S459" s="288">
        <f t="shared" si="252"/>
        <v>0</v>
      </c>
      <c r="T459" s="288">
        <f t="shared" si="252"/>
        <v>0</v>
      </c>
      <c r="U459" s="288">
        <f t="shared" si="252"/>
        <v>0</v>
      </c>
      <c r="V459" s="288">
        <f t="shared" si="252"/>
        <v>0</v>
      </c>
      <c r="W459" s="288">
        <f t="shared" si="252"/>
        <v>0</v>
      </c>
      <c r="X459" s="288">
        <f t="shared" si="252"/>
        <v>0</v>
      </c>
      <c r="Y459" s="288">
        <f t="shared" si="252"/>
        <v>0</v>
      </c>
      <c r="Z459" s="288">
        <f t="shared" si="252"/>
        <v>0</v>
      </c>
      <c r="AA459" s="288">
        <f t="shared" si="252"/>
        <v>0</v>
      </c>
      <c r="AB459" s="288">
        <f t="shared" si="252"/>
        <v>0</v>
      </c>
      <c r="AC459" s="288">
        <f t="shared" si="252"/>
        <v>0</v>
      </c>
      <c r="AD459" s="288">
        <f t="shared" si="252"/>
        <v>0</v>
      </c>
      <c r="AE459" s="288">
        <f t="shared" si="252"/>
        <v>0</v>
      </c>
      <c r="AF459" s="288">
        <f t="shared" si="252"/>
        <v>0</v>
      </c>
      <c r="AG459" s="288">
        <f t="shared" si="252"/>
        <v>0</v>
      </c>
      <c r="AH459" s="288">
        <f t="shared" si="252"/>
        <v>0</v>
      </c>
      <c r="AI459" s="288">
        <f t="shared" si="252"/>
        <v>0</v>
      </c>
      <c r="AJ459" s="288">
        <f t="shared" si="252"/>
        <v>0</v>
      </c>
      <c r="AK459" s="288">
        <f t="shared" si="252"/>
        <v>0</v>
      </c>
      <c r="AL459" s="288">
        <f t="shared" si="252"/>
        <v>0</v>
      </c>
    </row>
    <row r="460" spans="1:38" s="554" customFormat="1" outlineLevel="1" x14ac:dyDescent="0.2">
      <c r="B460" s="555" t="s">
        <v>264</v>
      </c>
      <c r="C460" s="556"/>
      <c r="E460" s="545"/>
      <c r="F460" s="557"/>
      <c r="G460" s="557"/>
      <c r="H460" s="305">
        <f>H152</f>
        <v>6.1</v>
      </c>
      <c r="I460" s="305">
        <f>I152</f>
        <v>-21.4</v>
      </c>
      <c r="J460" s="305">
        <f>J152</f>
        <v>2.3999999999999986</v>
      </c>
      <c r="K460" s="558"/>
      <c r="L460" s="558"/>
      <c r="M460" s="558"/>
      <c r="N460" s="558"/>
      <c r="O460" s="558"/>
      <c r="P460" s="558"/>
      <c r="Q460" s="558"/>
      <c r="R460" s="558"/>
      <c r="S460" s="558"/>
      <c r="T460" s="558"/>
      <c r="U460" s="558"/>
      <c r="V460" s="558"/>
      <c r="W460" s="558"/>
      <c r="X460" s="558"/>
      <c r="Y460" s="558"/>
      <c r="Z460" s="558"/>
      <c r="AA460" s="558"/>
      <c r="AB460" s="558"/>
      <c r="AC460" s="558"/>
      <c r="AD460" s="558"/>
      <c r="AE460" s="558"/>
      <c r="AF460" s="558"/>
      <c r="AG460" s="558"/>
      <c r="AH460" s="558"/>
      <c r="AI460" s="558"/>
      <c r="AJ460" s="558"/>
      <c r="AK460" s="558"/>
      <c r="AL460" s="558"/>
    </row>
    <row r="461" spans="1:38" x14ac:dyDescent="0.2">
      <c r="B461" s="263"/>
      <c r="E461" s="292"/>
      <c r="F461" s="292"/>
      <c r="G461" s="292"/>
      <c r="H461" s="292"/>
      <c r="I461" s="29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row>
    <row r="462" spans="1:38" s="222" customFormat="1" x14ac:dyDescent="0.2">
      <c r="A462" s="222" t="s">
        <v>7</v>
      </c>
      <c r="B462" s="276" t="s">
        <v>265</v>
      </c>
      <c r="C462" s="277"/>
      <c r="E462" s="278"/>
      <c r="F462" s="278"/>
      <c r="G462" s="278"/>
      <c r="H462" s="278"/>
      <c r="I462" s="278"/>
      <c r="J462" s="278"/>
      <c r="K462" s="278"/>
      <c r="L462" s="278"/>
      <c r="M462" s="278"/>
      <c r="N462" s="278"/>
      <c r="O462" s="278"/>
      <c r="P462" s="278"/>
      <c r="Q462" s="278"/>
      <c r="R462" s="278"/>
      <c r="S462" s="278"/>
      <c r="T462" s="278"/>
      <c r="U462" s="278"/>
      <c r="V462" s="278"/>
      <c r="W462" s="278"/>
      <c r="X462" s="278"/>
      <c r="Y462" s="278"/>
      <c r="Z462" s="278"/>
      <c r="AA462" s="278"/>
      <c r="AB462" s="278"/>
      <c r="AC462" s="278"/>
      <c r="AD462" s="278"/>
      <c r="AE462" s="278"/>
      <c r="AF462" s="278"/>
      <c r="AG462" s="278"/>
      <c r="AH462" s="278"/>
      <c r="AI462" s="278"/>
      <c r="AJ462" s="278"/>
      <c r="AK462" s="278"/>
      <c r="AL462" s="278"/>
    </row>
    <row r="463" spans="1:38" outlineLevel="1" x14ac:dyDescent="0.2">
      <c r="B463" s="261"/>
      <c r="C463" s="212"/>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c r="AA463" s="213"/>
      <c r="AB463" s="213"/>
      <c r="AC463" s="213"/>
      <c r="AD463" s="213"/>
      <c r="AE463" s="213"/>
      <c r="AF463" s="213"/>
      <c r="AG463" s="213"/>
      <c r="AH463" s="213"/>
      <c r="AI463" s="213"/>
      <c r="AJ463" s="213"/>
      <c r="AK463" s="213"/>
      <c r="AL463" s="213"/>
    </row>
    <row r="464" spans="1:38" outlineLevel="1" x14ac:dyDescent="0.2">
      <c r="B464" s="246" t="s">
        <v>266</v>
      </c>
      <c r="C464" s="212"/>
      <c r="E464" s="213"/>
      <c r="F464" s="213"/>
      <c r="G464" s="414"/>
      <c r="H464" s="213"/>
      <c r="I464" s="213"/>
      <c r="J464" s="213"/>
      <c r="K464" s="213"/>
      <c r="L464" s="213"/>
      <c r="M464" s="213"/>
      <c r="N464" s="213"/>
      <c r="O464" s="213"/>
      <c r="P464" s="213"/>
      <c r="Q464" s="213"/>
      <c r="R464" s="213"/>
      <c r="S464" s="213"/>
      <c r="T464" s="213"/>
      <c r="U464" s="213"/>
      <c r="V464" s="213"/>
      <c r="W464" s="213"/>
      <c r="X464" s="213"/>
      <c r="Y464" s="213"/>
      <c r="Z464" s="213"/>
      <c r="AA464" s="213"/>
      <c r="AB464" s="213"/>
      <c r="AC464" s="213"/>
      <c r="AD464" s="213"/>
      <c r="AE464" s="213"/>
      <c r="AF464" s="213"/>
      <c r="AG464" s="213"/>
      <c r="AH464" s="213"/>
      <c r="AI464" s="213"/>
      <c r="AJ464" s="213"/>
      <c r="AK464" s="213"/>
      <c r="AL464" s="213"/>
    </row>
    <row r="465" spans="2:38" outlineLevel="1" x14ac:dyDescent="0.2">
      <c r="B465" s="234" t="s">
        <v>267</v>
      </c>
      <c r="C465" s="205" t="s">
        <v>268</v>
      </c>
      <c r="E465" s="415">
        <v>0.21234615384615391</v>
      </c>
      <c r="F465" s="415">
        <v>0.22865384615384621</v>
      </c>
      <c r="G465" s="415">
        <v>0.23140151515151511</v>
      </c>
      <c r="H465" s="415">
        <v>0.32426356589147293</v>
      </c>
      <c r="I465" s="415">
        <v>0.2545265151515152</v>
      </c>
      <c r="J465" s="415">
        <v>0.21</v>
      </c>
      <c r="K465" s="419">
        <f t="shared" ref="K465:AL465" si="253">K466</f>
        <v>0.19546250000000001</v>
      </c>
      <c r="L465" s="419">
        <f t="shared" si="253"/>
        <v>0.20108204687500003</v>
      </c>
      <c r="M465" s="419">
        <f t="shared" si="253"/>
        <v>0.20686315572265629</v>
      </c>
      <c r="N465" s="419">
        <f t="shared" si="253"/>
        <v>0.21281047144968268</v>
      </c>
      <c r="O465" s="419">
        <f t="shared" si="253"/>
        <v>0.21892877250386106</v>
      </c>
      <c r="P465" s="419">
        <f t="shared" si="253"/>
        <v>0.22522297471334707</v>
      </c>
      <c r="Q465" s="419">
        <f t="shared" si="253"/>
        <v>0.2316981352363558</v>
      </c>
      <c r="R465" s="419">
        <f t="shared" si="253"/>
        <v>0.23835945662440103</v>
      </c>
      <c r="S465" s="419">
        <f t="shared" si="253"/>
        <v>0.24521229100235256</v>
      </c>
      <c r="T465" s="419">
        <f t="shared" si="253"/>
        <v>0.25226214436867023</v>
      </c>
      <c r="U465" s="419">
        <f t="shared" si="253"/>
        <v>0.2595146810192695</v>
      </c>
      <c r="V465" s="419">
        <f t="shared" si="253"/>
        <v>0.26697572809857351</v>
      </c>
      <c r="W465" s="419">
        <f t="shared" si="253"/>
        <v>0.27465128028140751</v>
      </c>
      <c r="X465" s="419">
        <f t="shared" si="253"/>
        <v>0.28254750458949801</v>
      </c>
      <c r="Y465" s="419">
        <f t="shared" si="253"/>
        <v>0.2906707453464461</v>
      </c>
      <c r="Z465" s="419">
        <f t="shared" si="253"/>
        <v>0.29902752927515647</v>
      </c>
      <c r="AA465" s="419">
        <f t="shared" si="253"/>
        <v>0.3076245707418172</v>
      </c>
      <c r="AB465" s="419">
        <f t="shared" si="253"/>
        <v>0.31646877715064448</v>
      </c>
      <c r="AC465" s="419">
        <f t="shared" si="253"/>
        <v>0.32556725449372553</v>
      </c>
      <c r="AD465" s="419">
        <f t="shared" si="253"/>
        <v>0.33492731306042017</v>
      </c>
      <c r="AE465" s="419">
        <f t="shared" si="253"/>
        <v>0.34455647331090727</v>
      </c>
      <c r="AF465" s="419">
        <f t="shared" si="253"/>
        <v>0.35446247191859587</v>
      </c>
      <c r="AG465" s="419">
        <f t="shared" si="253"/>
        <v>0.36465326798625552</v>
      </c>
      <c r="AH465" s="419">
        <f t="shared" si="253"/>
        <v>0.3751370494408604</v>
      </c>
      <c r="AI465" s="419">
        <f t="shared" si="253"/>
        <v>0.38592223961228517</v>
      </c>
      <c r="AJ465" s="419">
        <f t="shared" si="253"/>
        <v>0.39701750400113839</v>
      </c>
      <c r="AK465" s="419">
        <f t="shared" si="253"/>
        <v>0.40843175724117115</v>
      </c>
      <c r="AL465" s="419">
        <f t="shared" si="253"/>
        <v>0.42017417026185483</v>
      </c>
    </row>
    <row r="466" spans="2:38" outlineLevel="1" x14ac:dyDescent="0.2">
      <c r="B466" s="234" t="s">
        <v>269</v>
      </c>
      <c r="C466" s="205" t="s">
        <v>268</v>
      </c>
      <c r="E466" s="415">
        <v>0.19500000000000001</v>
      </c>
      <c r="F466" s="415">
        <v>0.19</v>
      </c>
      <c r="G466" s="415">
        <v>0.3</v>
      </c>
      <c r="H466" s="415">
        <v>0.27</v>
      </c>
      <c r="I466" s="415">
        <v>0.2</v>
      </c>
      <c r="J466" s="415">
        <v>0.19</v>
      </c>
      <c r="K466" s="419">
        <f t="shared" ref="K466:AL466" si="254">J466*(1+($D$526/4)*(1-K472))</f>
        <v>0.19546250000000001</v>
      </c>
      <c r="L466" s="419">
        <f t="shared" si="254"/>
        <v>0.20108204687500003</v>
      </c>
      <c r="M466" s="419">
        <f t="shared" si="254"/>
        <v>0.20686315572265629</v>
      </c>
      <c r="N466" s="419">
        <f t="shared" si="254"/>
        <v>0.21281047144968268</v>
      </c>
      <c r="O466" s="419">
        <f t="shared" si="254"/>
        <v>0.21892877250386106</v>
      </c>
      <c r="P466" s="419">
        <f t="shared" si="254"/>
        <v>0.22522297471334707</v>
      </c>
      <c r="Q466" s="419">
        <f t="shared" si="254"/>
        <v>0.2316981352363558</v>
      </c>
      <c r="R466" s="419">
        <f t="shared" si="254"/>
        <v>0.23835945662440103</v>
      </c>
      <c r="S466" s="419">
        <f t="shared" si="254"/>
        <v>0.24521229100235256</v>
      </c>
      <c r="T466" s="419">
        <f t="shared" si="254"/>
        <v>0.25226214436867023</v>
      </c>
      <c r="U466" s="419">
        <f t="shared" si="254"/>
        <v>0.2595146810192695</v>
      </c>
      <c r="V466" s="419">
        <f t="shared" si="254"/>
        <v>0.26697572809857351</v>
      </c>
      <c r="W466" s="419">
        <f t="shared" si="254"/>
        <v>0.27465128028140751</v>
      </c>
      <c r="X466" s="419">
        <f t="shared" si="254"/>
        <v>0.28254750458949801</v>
      </c>
      <c r="Y466" s="419">
        <f t="shared" si="254"/>
        <v>0.2906707453464461</v>
      </c>
      <c r="Z466" s="419">
        <f t="shared" si="254"/>
        <v>0.29902752927515647</v>
      </c>
      <c r="AA466" s="419">
        <f t="shared" si="254"/>
        <v>0.3076245707418172</v>
      </c>
      <c r="AB466" s="419">
        <f t="shared" si="254"/>
        <v>0.31646877715064448</v>
      </c>
      <c r="AC466" s="419">
        <f t="shared" si="254"/>
        <v>0.32556725449372553</v>
      </c>
      <c r="AD466" s="419">
        <f t="shared" si="254"/>
        <v>0.33492731306042017</v>
      </c>
      <c r="AE466" s="419">
        <f t="shared" si="254"/>
        <v>0.34455647331090727</v>
      </c>
      <c r="AF466" s="419">
        <f t="shared" si="254"/>
        <v>0.35446247191859587</v>
      </c>
      <c r="AG466" s="419">
        <f t="shared" si="254"/>
        <v>0.36465326798625552</v>
      </c>
      <c r="AH466" s="419">
        <f t="shared" si="254"/>
        <v>0.3751370494408604</v>
      </c>
      <c r="AI466" s="419">
        <f t="shared" si="254"/>
        <v>0.38592223961228517</v>
      </c>
      <c r="AJ466" s="419">
        <f t="shared" si="254"/>
        <v>0.39701750400113839</v>
      </c>
      <c r="AK466" s="419">
        <f t="shared" si="254"/>
        <v>0.40843175724117115</v>
      </c>
      <c r="AL466" s="419">
        <f t="shared" si="254"/>
        <v>0.42017417026185483</v>
      </c>
    </row>
    <row r="467" spans="2:38" outlineLevel="1" x14ac:dyDescent="0.2">
      <c r="B467" s="234"/>
      <c r="C467" s="212"/>
      <c r="E467" s="213"/>
      <c r="F467" s="213"/>
      <c r="G467" s="213"/>
      <c r="H467" s="213"/>
      <c r="I467" s="213"/>
      <c r="J467" s="213"/>
      <c r="K467" s="416"/>
      <c r="L467" s="213"/>
      <c r="M467" s="213"/>
      <c r="N467" s="213"/>
      <c r="O467" s="416"/>
      <c r="P467" s="213"/>
      <c r="Q467" s="213"/>
      <c r="R467" s="213"/>
      <c r="S467" s="213"/>
      <c r="T467" s="213"/>
      <c r="U467" s="213"/>
      <c r="V467" s="213"/>
      <c r="W467" s="213"/>
      <c r="X467" s="213"/>
      <c r="Y467" s="213"/>
      <c r="Z467" s="213"/>
      <c r="AA467" s="213"/>
      <c r="AB467" s="213"/>
      <c r="AC467" s="213"/>
      <c r="AD467" s="213"/>
      <c r="AE467" s="213"/>
      <c r="AF467" s="213"/>
      <c r="AG467" s="213"/>
      <c r="AH467" s="213"/>
      <c r="AI467" s="213"/>
      <c r="AJ467" s="213"/>
      <c r="AK467" s="213"/>
      <c r="AL467" s="213"/>
    </row>
    <row r="468" spans="2:38" outlineLevel="1" x14ac:dyDescent="0.2">
      <c r="B468" s="246" t="s">
        <v>270</v>
      </c>
      <c r="D468" s="294"/>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c r="AA468" s="249"/>
      <c r="AB468" s="249"/>
      <c r="AC468" s="249"/>
      <c r="AD468" s="249"/>
      <c r="AE468" s="249"/>
      <c r="AF468" s="249"/>
      <c r="AG468" s="249"/>
      <c r="AH468" s="249"/>
      <c r="AI468" s="249"/>
      <c r="AJ468" s="249"/>
      <c r="AK468" s="249"/>
      <c r="AL468" s="249"/>
    </row>
    <row r="469" spans="2:38" outlineLevel="1" x14ac:dyDescent="0.2">
      <c r="B469" s="293" t="s">
        <v>271</v>
      </c>
      <c r="D469" s="294"/>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c r="AB469" s="249"/>
      <c r="AC469" s="249"/>
      <c r="AD469" s="249"/>
      <c r="AE469" s="249"/>
      <c r="AF469" s="249"/>
      <c r="AG469" s="249"/>
      <c r="AH469" s="249"/>
      <c r="AI469" s="249"/>
      <c r="AJ469" s="249"/>
      <c r="AK469" s="249"/>
      <c r="AL469" s="249"/>
    </row>
    <row r="470" spans="2:38" outlineLevel="1" x14ac:dyDescent="0.2">
      <c r="B470" s="234" t="s">
        <v>272</v>
      </c>
      <c r="C470" s="205" t="s">
        <v>82</v>
      </c>
      <c r="D470" s="294"/>
      <c r="E470" s="302"/>
      <c r="F470" s="302"/>
      <c r="G470" s="302">
        <v>0</v>
      </c>
      <c r="H470" s="302">
        <v>0</v>
      </c>
      <c r="I470" s="302">
        <v>0</v>
      </c>
      <c r="J470" s="302">
        <v>0</v>
      </c>
      <c r="K470" s="303">
        <f t="shared" ref="K470:AL470" si="255">-K471/K500</f>
        <v>0</v>
      </c>
      <c r="L470" s="303">
        <f t="shared" si="255"/>
        <v>0</v>
      </c>
      <c r="M470" s="303">
        <f t="shared" si="255"/>
        <v>0</v>
      </c>
      <c r="N470" s="303">
        <f t="shared" si="255"/>
        <v>0</v>
      </c>
      <c r="O470" s="303">
        <f t="shared" si="255"/>
        <v>0</v>
      </c>
      <c r="P470" s="303">
        <f t="shared" si="255"/>
        <v>0</v>
      </c>
      <c r="Q470" s="303">
        <f t="shared" si="255"/>
        <v>0</v>
      </c>
      <c r="R470" s="303">
        <f t="shared" si="255"/>
        <v>0</v>
      </c>
      <c r="S470" s="303">
        <f t="shared" si="255"/>
        <v>0</v>
      </c>
      <c r="T470" s="303">
        <f t="shared" si="255"/>
        <v>0</v>
      </c>
      <c r="U470" s="303">
        <f t="shared" si="255"/>
        <v>0</v>
      </c>
      <c r="V470" s="303">
        <f t="shared" si="255"/>
        <v>0</v>
      </c>
      <c r="W470" s="303">
        <f t="shared" si="255"/>
        <v>0</v>
      </c>
      <c r="X470" s="303">
        <f t="shared" si="255"/>
        <v>0</v>
      </c>
      <c r="Y470" s="303">
        <f t="shared" si="255"/>
        <v>0</v>
      </c>
      <c r="Z470" s="303">
        <f t="shared" si="255"/>
        <v>0</v>
      </c>
      <c r="AA470" s="303">
        <f t="shared" si="255"/>
        <v>0</v>
      </c>
      <c r="AB470" s="303">
        <f t="shared" si="255"/>
        <v>0</v>
      </c>
      <c r="AC470" s="303">
        <f t="shared" si="255"/>
        <v>0</v>
      </c>
      <c r="AD470" s="303">
        <f t="shared" si="255"/>
        <v>0</v>
      </c>
      <c r="AE470" s="303">
        <f t="shared" si="255"/>
        <v>0</v>
      </c>
      <c r="AF470" s="303">
        <f t="shared" si="255"/>
        <v>0</v>
      </c>
      <c r="AG470" s="303">
        <f t="shared" si="255"/>
        <v>0</v>
      </c>
      <c r="AH470" s="303">
        <f t="shared" si="255"/>
        <v>0</v>
      </c>
      <c r="AI470" s="303">
        <f t="shared" si="255"/>
        <v>0</v>
      </c>
      <c r="AJ470" s="303">
        <f t="shared" si="255"/>
        <v>0</v>
      </c>
      <c r="AK470" s="303">
        <f t="shared" si="255"/>
        <v>0</v>
      </c>
      <c r="AL470" s="303">
        <f t="shared" si="255"/>
        <v>0</v>
      </c>
    </row>
    <row r="471" spans="2:38" outlineLevel="1" x14ac:dyDescent="0.2">
      <c r="B471" s="234" t="s">
        <v>273</v>
      </c>
      <c r="C471" s="205" t="s">
        <v>37</v>
      </c>
      <c r="D471" s="294"/>
      <c r="E471" s="232"/>
      <c r="F471" s="232"/>
      <c r="G471" s="232">
        <f>G470*-G500/100</f>
        <v>0</v>
      </c>
      <c r="H471" s="232">
        <f>H470*-H500/100</f>
        <v>0</v>
      </c>
      <c r="I471" s="232">
        <f>I470*-I500/100</f>
        <v>0</v>
      </c>
      <c r="J471" s="232">
        <f>J470*-J500/100</f>
        <v>0</v>
      </c>
      <c r="K471" s="304">
        <f t="shared" ref="K471:AL471" si="256">-K126*K472</f>
        <v>0</v>
      </c>
      <c r="L471" s="304">
        <f t="shared" si="256"/>
        <v>0</v>
      </c>
      <c r="M471" s="304">
        <f t="shared" si="256"/>
        <v>0</v>
      </c>
      <c r="N471" s="304">
        <f t="shared" si="256"/>
        <v>0</v>
      </c>
      <c r="O471" s="304">
        <f t="shared" si="256"/>
        <v>0</v>
      </c>
      <c r="P471" s="304">
        <f t="shared" si="256"/>
        <v>0</v>
      </c>
      <c r="Q471" s="304">
        <f t="shared" si="256"/>
        <v>0</v>
      </c>
      <c r="R471" s="304">
        <f t="shared" si="256"/>
        <v>0</v>
      </c>
      <c r="S471" s="304">
        <f t="shared" si="256"/>
        <v>0</v>
      </c>
      <c r="T471" s="304">
        <f t="shared" si="256"/>
        <v>0</v>
      </c>
      <c r="U471" s="304">
        <f t="shared" si="256"/>
        <v>0</v>
      </c>
      <c r="V471" s="304">
        <f t="shared" si="256"/>
        <v>0</v>
      </c>
      <c r="W471" s="304">
        <f t="shared" si="256"/>
        <v>0</v>
      </c>
      <c r="X471" s="304">
        <f t="shared" si="256"/>
        <v>0</v>
      </c>
      <c r="Y471" s="304">
        <f t="shared" si="256"/>
        <v>0</v>
      </c>
      <c r="Z471" s="304">
        <f t="shared" si="256"/>
        <v>0</v>
      </c>
      <c r="AA471" s="304">
        <f t="shared" si="256"/>
        <v>0</v>
      </c>
      <c r="AB471" s="304">
        <f t="shared" si="256"/>
        <v>0</v>
      </c>
      <c r="AC471" s="304">
        <f t="shared" si="256"/>
        <v>0</v>
      </c>
      <c r="AD471" s="304">
        <f t="shared" si="256"/>
        <v>0</v>
      </c>
      <c r="AE471" s="304">
        <f t="shared" si="256"/>
        <v>0</v>
      </c>
      <c r="AF471" s="304">
        <f t="shared" si="256"/>
        <v>0</v>
      </c>
      <c r="AG471" s="304">
        <f t="shared" si="256"/>
        <v>0</v>
      </c>
      <c r="AH471" s="304">
        <f t="shared" si="256"/>
        <v>0</v>
      </c>
      <c r="AI471" s="304">
        <f t="shared" si="256"/>
        <v>0</v>
      </c>
      <c r="AJ471" s="304">
        <f t="shared" si="256"/>
        <v>0</v>
      </c>
      <c r="AK471" s="304">
        <f t="shared" si="256"/>
        <v>0</v>
      </c>
      <c r="AL471" s="304">
        <f t="shared" si="256"/>
        <v>0</v>
      </c>
    </row>
    <row r="472" spans="2:38" outlineLevel="1" x14ac:dyDescent="0.2">
      <c r="B472" s="263" t="s">
        <v>274</v>
      </c>
      <c r="C472" s="205" t="s">
        <v>39</v>
      </c>
      <c r="D472" s="294"/>
      <c r="E472" s="240"/>
      <c r="F472" s="240"/>
      <c r="G472" s="240">
        <f>-G471/G126</f>
        <v>0</v>
      </c>
      <c r="H472" s="240">
        <f>-H471/H126</f>
        <v>0</v>
      </c>
      <c r="I472" s="240">
        <f>-I471/I126</f>
        <v>0</v>
      </c>
      <c r="J472" s="240">
        <f>-J471/J126</f>
        <v>0</v>
      </c>
      <c r="K472" s="301">
        <v>0</v>
      </c>
      <c r="L472" s="301">
        <v>0</v>
      </c>
      <c r="M472" s="301">
        <v>0</v>
      </c>
      <c r="N472" s="301">
        <v>0</v>
      </c>
      <c r="O472" s="301">
        <v>0</v>
      </c>
      <c r="P472" s="301">
        <v>0</v>
      </c>
      <c r="Q472" s="301">
        <v>0</v>
      </c>
      <c r="R472" s="301">
        <v>0</v>
      </c>
      <c r="S472" s="301">
        <v>0</v>
      </c>
      <c r="T472" s="301">
        <v>0</v>
      </c>
      <c r="U472" s="301">
        <v>0</v>
      </c>
      <c r="V472" s="301">
        <v>0</v>
      </c>
      <c r="W472" s="301">
        <v>0</v>
      </c>
      <c r="X472" s="301">
        <v>0</v>
      </c>
      <c r="Y472" s="301">
        <v>0</v>
      </c>
      <c r="Z472" s="301">
        <v>0</v>
      </c>
      <c r="AA472" s="301">
        <v>0</v>
      </c>
      <c r="AB472" s="301">
        <v>0</v>
      </c>
      <c r="AC472" s="301">
        <v>0</v>
      </c>
      <c r="AD472" s="301">
        <v>0</v>
      </c>
      <c r="AE472" s="301">
        <v>0</v>
      </c>
      <c r="AF472" s="301">
        <v>0</v>
      </c>
      <c r="AG472" s="301">
        <v>0</v>
      </c>
      <c r="AH472" s="301">
        <v>0</v>
      </c>
      <c r="AI472" s="301">
        <v>0</v>
      </c>
      <c r="AJ472" s="301">
        <v>0</v>
      </c>
      <c r="AK472" s="301">
        <v>0</v>
      </c>
      <c r="AL472" s="301">
        <v>0</v>
      </c>
    </row>
    <row r="473" spans="2:38" outlineLevel="1" x14ac:dyDescent="0.2">
      <c r="B473" s="263" t="s">
        <v>275</v>
      </c>
      <c r="C473" s="205" t="s">
        <v>39</v>
      </c>
      <c r="D473" s="294"/>
      <c r="E473" s="240"/>
      <c r="F473" s="240"/>
      <c r="G473" s="240">
        <f t="shared" ref="G473:AL473" si="257">(G470/100)/G$17*365/G466</f>
        <v>0</v>
      </c>
      <c r="H473" s="240">
        <f t="shared" si="257"/>
        <v>0</v>
      </c>
      <c r="I473" s="240">
        <f t="shared" si="257"/>
        <v>0</v>
      </c>
      <c r="J473" s="240">
        <f t="shared" ref="J473" si="258">(J470/100)/J$17*365/J466</f>
        <v>0</v>
      </c>
      <c r="K473" s="240">
        <f t="shared" si="257"/>
        <v>0</v>
      </c>
      <c r="L473" s="240">
        <f t="shared" si="257"/>
        <v>0</v>
      </c>
      <c r="M473" s="240">
        <f t="shared" si="257"/>
        <v>0</v>
      </c>
      <c r="N473" s="240">
        <f t="shared" si="257"/>
        <v>0</v>
      </c>
      <c r="O473" s="240">
        <f t="shared" si="257"/>
        <v>0</v>
      </c>
      <c r="P473" s="240">
        <f t="shared" si="257"/>
        <v>0</v>
      </c>
      <c r="Q473" s="240">
        <f t="shared" si="257"/>
        <v>0</v>
      </c>
      <c r="R473" s="240">
        <f t="shared" si="257"/>
        <v>0</v>
      </c>
      <c r="S473" s="240">
        <f t="shared" si="257"/>
        <v>0</v>
      </c>
      <c r="T473" s="240">
        <f t="shared" si="257"/>
        <v>0</v>
      </c>
      <c r="U473" s="240">
        <f t="shared" si="257"/>
        <v>0</v>
      </c>
      <c r="V473" s="240">
        <f t="shared" si="257"/>
        <v>0</v>
      </c>
      <c r="W473" s="240">
        <f t="shared" si="257"/>
        <v>0</v>
      </c>
      <c r="X473" s="240">
        <f t="shared" si="257"/>
        <v>0</v>
      </c>
      <c r="Y473" s="240">
        <f t="shared" si="257"/>
        <v>0</v>
      </c>
      <c r="Z473" s="240">
        <f t="shared" si="257"/>
        <v>0</v>
      </c>
      <c r="AA473" s="240">
        <f t="shared" si="257"/>
        <v>0</v>
      </c>
      <c r="AB473" s="240">
        <f t="shared" si="257"/>
        <v>0</v>
      </c>
      <c r="AC473" s="240">
        <f t="shared" si="257"/>
        <v>0</v>
      </c>
      <c r="AD473" s="240">
        <f t="shared" si="257"/>
        <v>0</v>
      </c>
      <c r="AE473" s="240">
        <f t="shared" si="257"/>
        <v>0</v>
      </c>
      <c r="AF473" s="240">
        <f t="shared" si="257"/>
        <v>0</v>
      </c>
      <c r="AG473" s="240">
        <f t="shared" si="257"/>
        <v>0</v>
      </c>
      <c r="AH473" s="240">
        <f t="shared" si="257"/>
        <v>0</v>
      </c>
      <c r="AI473" s="240">
        <f t="shared" si="257"/>
        <v>0</v>
      </c>
      <c r="AJ473" s="240">
        <f t="shared" si="257"/>
        <v>0</v>
      </c>
      <c r="AK473" s="240">
        <f t="shared" si="257"/>
        <v>0</v>
      </c>
      <c r="AL473" s="240">
        <f t="shared" si="257"/>
        <v>0</v>
      </c>
    </row>
    <row r="474" spans="2:38" outlineLevel="1" x14ac:dyDescent="0.2"/>
    <row r="475" spans="2:38" outlineLevel="1" x14ac:dyDescent="0.2">
      <c r="B475" s="246" t="s">
        <v>276</v>
      </c>
      <c r="D475" s="294"/>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c r="AB475" s="249"/>
      <c r="AC475" s="249"/>
      <c r="AD475" s="249"/>
      <c r="AE475" s="249"/>
      <c r="AF475" s="249"/>
      <c r="AG475" s="249"/>
      <c r="AH475" s="249"/>
      <c r="AI475" s="249"/>
      <c r="AJ475" s="249"/>
      <c r="AK475" s="249"/>
      <c r="AL475" s="249"/>
    </row>
    <row r="476" spans="2:38" outlineLevel="1" x14ac:dyDescent="0.2">
      <c r="B476" s="293" t="s">
        <v>153</v>
      </c>
      <c r="D476" s="294"/>
      <c r="E476" s="249"/>
      <c r="F476" s="249"/>
      <c r="G476" s="249"/>
      <c r="H476" s="249"/>
      <c r="I476" s="249"/>
      <c r="J476" s="249"/>
    </row>
    <row r="477" spans="2:38" outlineLevel="1" x14ac:dyDescent="0.2">
      <c r="B477" s="263" t="s">
        <v>153</v>
      </c>
      <c r="C477" s="205" t="s">
        <v>37</v>
      </c>
      <c r="D477" s="280"/>
      <c r="E477" s="280"/>
      <c r="F477" s="280"/>
      <c r="G477" s="280">
        <v>50.423999999999999</v>
      </c>
      <c r="H477" s="236">
        <f>15+3+53.53+60.912+15.589</f>
        <v>148.03100000000001</v>
      </c>
      <c r="I477" s="280">
        <v>32.524000000000001</v>
      </c>
      <c r="J477" s="236">
        <f>0.05+1.18</f>
        <v>1.23</v>
      </c>
      <c r="K477" s="250">
        <v>0</v>
      </c>
      <c r="L477" s="250">
        <v>0</v>
      </c>
      <c r="M477" s="250">
        <v>0</v>
      </c>
      <c r="N477" s="250">
        <v>0</v>
      </c>
      <c r="O477" s="250">
        <v>0</v>
      </c>
      <c r="P477" s="250">
        <v>0</v>
      </c>
      <c r="Q477" s="250">
        <v>0</v>
      </c>
      <c r="R477" s="250">
        <v>0</v>
      </c>
      <c r="S477" s="250">
        <v>0</v>
      </c>
      <c r="T477" s="250">
        <v>0</v>
      </c>
      <c r="U477" s="250">
        <v>0</v>
      </c>
      <c r="V477" s="250">
        <v>0</v>
      </c>
      <c r="W477" s="250">
        <v>0</v>
      </c>
      <c r="X477" s="250">
        <v>0</v>
      </c>
      <c r="Y477" s="250">
        <v>0</v>
      </c>
      <c r="Z477" s="250">
        <v>0</v>
      </c>
      <c r="AA477" s="250">
        <v>0</v>
      </c>
      <c r="AB477" s="250">
        <v>0</v>
      </c>
      <c r="AC477" s="250">
        <v>0</v>
      </c>
      <c r="AD477" s="250">
        <v>0</v>
      </c>
      <c r="AE477" s="250">
        <v>0</v>
      </c>
      <c r="AF477" s="250">
        <v>0</v>
      </c>
      <c r="AG477" s="250">
        <v>0</v>
      </c>
      <c r="AH477" s="250">
        <v>0</v>
      </c>
      <c r="AI477" s="250">
        <v>0</v>
      </c>
      <c r="AJ477" s="250">
        <v>0</v>
      </c>
      <c r="AK477" s="250">
        <v>0</v>
      </c>
      <c r="AL477" s="250">
        <v>0</v>
      </c>
    </row>
    <row r="478" spans="2:38" outlineLevel="1" x14ac:dyDescent="0.2">
      <c r="B478" s="263" t="s">
        <v>277</v>
      </c>
      <c r="C478" s="205" t="s">
        <v>268</v>
      </c>
      <c r="D478" s="294"/>
      <c r="E478" s="402"/>
      <c r="F478" s="402"/>
      <c r="G478" s="402">
        <f>IF(G477=0,NA(),G477/G479)</f>
        <v>0.19000000621727769</v>
      </c>
      <c r="H478" s="402">
        <f>IF(H477=0,NA(),H477/H479)</f>
        <v>0.32230518882396159</v>
      </c>
      <c r="I478" s="402">
        <f>IF(I477=0,NA(),I477/I479)</f>
        <v>0.24501695708842591</v>
      </c>
      <c r="J478" s="402">
        <f>IF(J477=0,NA(),J477/J479)</f>
        <v>0.17225819570883827</v>
      </c>
      <c r="K478" s="404">
        <f t="shared" ref="K478:AL478" si="259">K465</f>
        <v>0.19546250000000001</v>
      </c>
      <c r="L478" s="404">
        <f t="shared" si="259"/>
        <v>0.20108204687500003</v>
      </c>
      <c r="M478" s="404">
        <f t="shared" si="259"/>
        <v>0.20686315572265629</v>
      </c>
      <c r="N478" s="404">
        <f t="shared" si="259"/>
        <v>0.21281047144968268</v>
      </c>
      <c r="O478" s="404">
        <f t="shared" si="259"/>
        <v>0.21892877250386106</v>
      </c>
      <c r="P478" s="404">
        <f t="shared" si="259"/>
        <v>0.22522297471334707</v>
      </c>
      <c r="Q478" s="404">
        <f t="shared" si="259"/>
        <v>0.2316981352363558</v>
      </c>
      <c r="R478" s="404">
        <f t="shared" si="259"/>
        <v>0.23835945662440103</v>
      </c>
      <c r="S478" s="404">
        <f t="shared" si="259"/>
        <v>0.24521229100235256</v>
      </c>
      <c r="T478" s="404">
        <f t="shared" si="259"/>
        <v>0.25226214436867023</v>
      </c>
      <c r="U478" s="404">
        <f t="shared" si="259"/>
        <v>0.2595146810192695</v>
      </c>
      <c r="V478" s="404">
        <f t="shared" si="259"/>
        <v>0.26697572809857351</v>
      </c>
      <c r="W478" s="404">
        <f t="shared" si="259"/>
        <v>0.27465128028140751</v>
      </c>
      <c r="X478" s="404">
        <f t="shared" si="259"/>
        <v>0.28254750458949801</v>
      </c>
      <c r="Y478" s="404">
        <f t="shared" si="259"/>
        <v>0.2906707453464461</v>
      </c>
      <c r="Z478" s="404">
        <f t="shared" si="259"/>
        <v>0.29902752927515647</v>
      </c>
      <c r="AA478" s="404">
        <f t="shared" si="259"/>
        <v>0.3076245707418172</v>
      </c>
      <c r="AB478" s="404">
        <f t="shared" si="259"/>
        <v>0.31646877715064448</v>
      </c>
      <c r="AC478" s="404">
        <f t="shared" si="259"/>
        <v>0.32556725449372553</v>
      </c>
      <c r="AD478" s="404">
        <f t="shared" si="259"/>
        <v>0.33492731306042017</v>
      </c>
      <c r="AE478" s="404">
        <f t="shared" si="259"/>
        <v>0.34455647331090727</v>
      </c>
      <c r="AF478" s="404">
        <f t="shared" si="259"/>
        <v>0.35446247191859587</v>
      </c>
      <c r="AG478" s="404">
        <f t="shared" si="259"/>
        <v>0.36465326798625552</v>
      </c>
      <c r="AH478" s="404">
        <f t="shared" si="259"/>
        <v>0.3751370494408604</v>
      </c>
      <c r="AI478" s="404">
        <f t="shared" si="259"/>
        <v>0.38592223961228517</v>
      </c>
      <c r="AJ478" s="404">
        <f t="shared" si="259"/>
        <v>0.39701750400113839</v>
      </c>
      <c r="AK478" s="404">
        <f t="shared" si="259"/>
        <v>0.40843175724117115</v>
      </c>
      <c r="AL478" s="404">
        <f t="shared" si="259"/>
        <v>0.42017417026185483</v>
      </c>
    </row>
    <row r="479" spans="2:38" outlineLevel="1" x14ac:dyDescent="0.2">
      <c r="B479" s="234" t="s">
        <v>279</v>
      </c>
      <c r="C479" s="205" t="s">
        <v>280</v>
      </c>
      <c r="D479" s="294"/>
      <c r="E479" s="236"/>
      <c r="F479" s="236"/>
      <c r="G479" s="236">
        <v>265.38946499999997</v>
      </c>
      <c r="H479" s="280">
        <f>44.117659+8.823529+167.282642+190.348682+48.715781</f>
        <v>459.28829300000001</v>
      </c>
      <c r="I479" s="236">
        <v>132.74183300000001</v>
      </c>
      <c r="J479" s="280">
        <f>0.196+6.944444</f>
        <v>7.1404439999999996</v>
      </c>
      <c r="K479" s="265">
        <f t="shared" ref="K479:AL479" si="260">K477/K478</f>
        <v>0</v>
      </c>
      <c r="L479" s="265">
        <f t="shared" si="260"/>
        <v>0</v>
      </c>
      <c r="M479" s="265">
        <f t="shared" si="260"/>
        <v>0</v>
      </c>
      <c r="N479" s="265">
        <f t="shared" si="260"/>
        <v>0</v>
      </c>
      <c r="O479" s="265">
        <f t="shared" si="260"/>
        <v>0</v>
      </c>
      <c r="P479" s="265">
        <f t="shared" si="260"/>
        <v>0</v>
      </c>
      <c r="Q479" s="265">
        <f t="shared" si="260"/>
        <v>0</v>
      </c>
      <c r="R479" s="265">
        <f t="shared" si="260"/>
        <v>0</v>
      </c>
      <c r="S479" s="265">
        <f t="shared" si="260"/>
        <v>0</v>
      </c>
      <c r="T479" s="265">
        <f t="shared" si="260"/>
        <v>0</v>
      </c>
      <c r="U479" s="265">
        <f t="shared" si="260"/>
        <v>0</v>
      </c>
      <c r="V479" s="265">
        <f t="shared" si="260"/>
        <v>0</v>
      </c>
      <c r="W479" s="265">
        <f t="shared" si="260"/>
        <v>0</v>
      </c>
      <c r="X479" s="265">
        <f t="shared" si="260"/>
        <v>0</v>
      </c>
      <c r="Y479" s="265">
        <f t="shared" si="260"/>
        <v>0</v>
      </c>
      <c r="Z479" s="265">
        <f t="shared" si="260"/>
        <v>0</v>
      </c>
      <c r="AA479" s="265">
        <f t="shared" si="260"/>
        <v>0</v>
      </c>
      <c r="AB479" s="265">
        <f t="shared" si="260"/>
        <v>0</v>
      </c>
      <c r="AC479" s="265">
        <f t="shared" si="260"/>
        <v>0</v>
      </c>
      <c r="AD479" s="265">
        <f t="shared" si="260"/>
        <v>0</v>
      </c>
      <c r="AE479" s="265">
        <f t="shared" si="260"/>
        <v>0</v>
      </c>
      <c r="AF479" s="265">
        <f t="shared" si="260"/>
        <v>0</v>
      </c>
      <c r="AG479" s="265">
        <f t="shared" si="260"/>
        <v>0</v>
      </c>
      <c r="AH479" s="265">
        <f t="shared" si="260"/>
        <v>0</v>
      </c>
      <c r="AI479" s="265">
        <f t="shared" si="260"/>
        <v>0</v>
      </c>
      <c r="AJ479" s="265">
        <f t="shared" si="260"/>
        <v>0</v>
      </c>
      <c r="AK479" s="265">
        <f t="shared" si="260"/>
        <v>0</v>
      </c>
      <c r="AL479" s="265">
        <f t="shared" si="260"/>
        <v>0</v>
      </c>
    </row>
    <row r="480" spans="2:38" outlineLevel="1" x14ac:dyDescent="0.2">
      <c r="B480" s="234"/>
      <c r="D480" s="294"/>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c r="AA480" s="249"/>
      <c r="AB480" s="249"/>
      <c r="AC480" s="249"/>
      <c r="AD480" s="249"/>
      <c r="AE480" s="249"/>
      <c r="AF480" s="249"/>
      <c r="AG480" s="249"/>
      <c r="AH480" s="249"/>
      <c r="AI480" s="249"/>
      <c r="AJ480" s="249"/>
      <c r="AK480" s="249"/>
      <c r="AL480" s="249"/>
    </row>
    <row r="481" spans="1:40" outlineLevel="1" x14ac:dyDescent="0.2">
      <c r="B481" s="293" t="s">
        <v>281</v>
      </c>
      <c r="D481" s="294"/>
      <c r="E481" s="303"/>
      <c r="F481" s="303"/>
      <c r="G481" s="303"/>
      <c r="H481" s="303"/>
      <c r="I481" s="303"/>
      <c r="J481" s="249"/>
      <c r="K481" s="249"/>
      <c r="L481" s="249"/>
      <c r="M481" s="249"/>
      <c r="N481" s="249"/>
      <c r="O481" s="249"/>
      <c r="P481" s="249"/>
      <c r="Q481" s="249"/>
      <c r="R481" s="249"/>
      <c r="S481" s="249"/>
      <c r="T481" s="249"/>
      <c r="U481" s="249"/>
      <c r="V481" s="249"/>
      <c r="W481" s="249"/>
      <c r="X481" s="249"/>
      <c r="Y481" s="249"/>
      <c r="Z481" s="249"/>
      <c r="AA481" s="249"/>
      <c r="AB481" s="249"/>
      <c r="AC481" s="249"/>
      <c r="AD481" s="249"/>
      <c r="AE481" s="249"/>
      <c r="AF481" s="249"/>
      <c r="AG481" s="249"/>
      <c r="AH481" s="249"/>
      <c r="AI481" s="249"/>
      <c r="AJ481" s="249"/>
      <c r="AK481" s="249"/>
      <c r="AL481" s="249"/>
    </row>
    <row r="482" spans="1:40" outlineLevel="1" x14ac:dyDescent="0.2">
      <c r="B482" s="263" t="s">
        <v>282</v>
      </c>
      <c r="C482" s="205" t="s">
        <v>37</v>
      </c>
      <c r="D482" s="294"/>
      <c r="E482" s="280"/>
      <c r="F482" s="280"/>
      <c r="G482" s="280">
        <v>0</v>
      </c>
      <c r="H482" s="280">
        <v>0</v>
      </c>
      <c r="I482" s="280">
        <v>-40.65</v>
      </c>
      <c r="J482" s="280">
        <f>-40.65-I482</f>
        <v>0</v>
      </c>
      <c r="K482" s="250">
        <v>0</v>
      </c>
      <c r="L482" s="250">
        <v>0</v>
      </c>
      <c r="M482" s="250">
        <v>0</v>
      </c>
      <c r="N482" s="250">
        <v>0</v>
      </c>
      <c r="O482" s="250">
        <v>0</v>
      </c>
      <c r="P482" s="250">
        <v>0</v>
      </c>
      <c r="Q482" s="250">
        <v>0</v>
      </c>
      <c r="R482" s="250">
        <v>0</v>
      </c>
      <c r="S482" s="250">
        <v>0</v>
      </c>
      <c r="T482" s="250">
        <v>0</v>
      </c>
      <c r="U482" s="250">
        <v>0</v>
      </c>
      <c r="V482" s="250">
        <v>0</v>
      </c>
      <c r="W482" s="250">
        <v>0</v>
      </c>
      <c r="X482" s="250">
        <v>0</v>
      </c>
      <c r="Y482" s="250">
        <v>0</v>
      </c>
      <c r="Z482" s="250">
        <v>0</v>
      </c>
      <c r="AA482" s="250">
        <v>0</v>
      </c>
      <c r="AB482" s="250">
        <v>0</v>
      </c>
      <c r="AC482" s="250">
        <v>0</v>
      </c>
      <c r="AD482" s="250">
        <v>0</v>
      </c>
      <c r="AE482" s="250">
        <v>0</v>
      </c>
      <c r="AF482" s="250">
        <v>0</v>
      </c>
      <c r="AG482" s="250">
        <v>0</v>
      </c>
      <c r="AH482" s="250">
        <v>0</v>
      </c>
      <c r="AI482" s="250">
        <v>0</v>
      </c>
      <c r="AJ482" s="250">
        <v>0</v>
      </c>
      <c r="AK482" s="250">
        <v>0</v>
      </c>
      <c r="AL482" s="250">
        <v>0</v>
      </c>
      <c r="AM482" s="250">
        <v>0</v>
      </c>
      <c r="AN482" s="250">
        <v>0</v>
      </c>
    </row>
    <row r="483" spans="1:40" outlineLevel="1" x14ac:dyDescent="0.2">
      <c r="B483" s="263" t="s">
        <v>283</v>
      </c>
      <c r="C483" s="205" t="s">
        <v>278</v>
      </c>
      <c r="D483" s="294"/>
      <c r="E483" s="402"/>
      <c r="F483" s="402"/>
      <c r="G483" s="402" t="e">
        <f>IF(G482=0,NA(),G482/G484)</f>
        <v>#N/A</v>
      </c>
      <c r="H483" s="402" t="e">
        <f>IF(H482=0,NA(),H482/H484)</f>
        <v>#N/A</v>
      </c>
      <c r="I483" s="402">
        <f>IF(I482=0,NA(),I482/I484)</f>
        <v>0.32000389452218198</v>
      </c>
      <c r="J483" s="402" t="e">
        <f>IF(J482=0,NA(),J482/J484)</f>
        <v>#N/A</v>
      </c>
      <c r="K483" s="403">
        <f t="shared" ref="K483:AL483" si="261">K465</f>
        <v>0.19546250000000001</v>
      </c>
      <c r="L483" s="403">
        <f t="shared" si="261"/>
        <v>0.20108204687500003</v>
      </c>
      <c r="M483" s="403">
        <f t="shared" si="261"/>
        <v>0.20686315572265629</v>
      </c>
      <c r="N483" s="403">
        <f t="shared" si="261"/>
        <v>0.21281047144968268</v>
      </c>
      <c r="O483" s="403">
        <f t="shared" si="261"/>
        <v>0.21892877250386106</v>
      </c>
      <c r="P483" s="403">
        <f t="shared" si="261"/>
        <v>0.22522297471334707</v>
      </c>
      <c r="Q483" s="403">
        <f t="shared" si="261"/>
        <v>0.2316981352363558</v>
      </c>
      <c r="R483" s="403">
        <f t="shared" si="261"/>
        <v>0.23835945662440103</v>
      </c>
      <c r="S483" s="403">
        <f t="shared" si="261"/>
        <v>0.24521229100235256</v>
      </c>
      <c r="T483" s="403">
        <f t="shared" si="261"/>
        <v>0.25226214436867023</v>
      </c>
      <c r="U483" s="403">
        <f t="shared" si="261"/>
        <v>0.2595146810192695</v>
      </c>
      <c r="V483" s="403">
        <f t="shared" si="261"/>
        <v>0.26697572809857351</v>
      </c>
      <c r="W483" s="403">
        <f t="shared" si="261"/>
        <v>0.27465128028140751</v>
      </c>
      <c r="X483" s="403">
        <f t="shared" si="261"/>
        <v>0.28254750458949801</v>
      </c>
      <c r="Y483" s="403">
        <f t="shared" si="261"/>
        <v>0.2906707453464461</v>
      </c>
      <c r="Z483" s="403">
        <f t="shared" si="261"/>
        <v>0.29902752927515647</v>
      </c>
      <c r="AA483" s="403">
        <f t="shared" si="261"/>
        <v>0.3076245707418172</v>
      </c>
      <c r="AB483" s="403">
        <f t="shared" si="261"/>
        <v>0.31646877715064448</v>
      </c>
      <c r="AC483" s="403">
        <f t="shared" si="261"/>
        <v>0.32556725449372553</v>
      </c>
      <c r="AD483" s="403">
        <f t="shared" si="261"/>
        <v>0.33492731306042017</v>
      </c>
      <c r="AE483" s="403">
        <f t="shared" si="261"/>
        <v>0.34455647331090727</v>
      </c>
      <c r="AF483" s="403">
        <f t="shared" si="261"/>
        <v>0.35446247191859587</v>
      </c>
      <c r="AG483" s="403">
        <f t="shared" si="261"/>
        <v>0.36465326798625552</v>
      </c>
      <c r="AH483" s="403">
        <f t="shared" si="261"/>
        <v>0.3751370494408604</v>
      </c>
      <c r="AI483" s="403">
        <f t="shared" si="261"/>
        <v>0.38592223961228517</v>
      </c>
      <c r="AJ483" s="403">
        <f t="shared" si="261"/>
        <v>0.39701750400113839</v>
      </c>
      <c r="AK483" s="403">
        <f t="shared" si="261"/>
        <v>0.40843175724117115</v>
      </c>
      <c r="AL483" s="403">
        <f t="shared" si="261"/>
        <v>0.42017417026185483</v>
      </c>
    </row>
    <row r="484" spans="1:40" outlineLevel="1" x14ac:dyDescent="0.2">
      <c r="B484" s="234" t="s">
        <v>284</v>
      </c>
      <c r="C484" s="205" t="s">
        <v>280</v>
      </c>
      <c r="D484" s="294"/>
      <c r="E484" s="280"/>
      <c r="F484" s="280"/>
      <c r="G484" s="280">
        <v>0</v>
      </c>
      <c r="H484" s="280">
        <v>0</v>
      </c>
      <c r="I484" s="280">
        <v>-127.029704</v>
      </c>
      <c r="J484" s="280">
        <v>0</v>
      </c>
      <c r="K484" s="265">
        <f t="shared" ref="K484:AL484" si="262">K482/K483</f>
        <v>0</v>
      </c>
      <c r="L484" s="265">
        <f t="shared" si="262"/>
        <v>0</v>
      </c>
      <c r="M484" s="265">
        <f t="shared" si="262"/>
        <v>0</v>
      </c>
      <c r="N484" s="265">
        <f t="shared" si="262"/>
        <v>0</v>
      </c>
      <c r="O484" s="265">
        <f t="shared" si="262"/>
        <v>0</v>
      </c>
      <c r="P484" s="265">
        <f t="shared" si="262"/>
        <v>0</v>
      </c>
      <c r="Q484" s="265">
        <f t="shared" si="262"/>
        <v>0</v>
      </c>
      <c r="R484" s="265">
        <f t="shared" si="262"/>
        <v>0</v>
      </c>
      <c r="S484" s="265">
        <f t="shared" si="262"/>
        <v>0</v>
      </c>
      <c r="T484" s="265">
        <f t="shared" si="262"/>
        <v>0</v>
      </c>
      <c r="U484" s="265">
        <f t="shared" si="262"/>
        <v>0</v>
      </c>
      <c r="V484" s="265">
        <f t="shared" si="262"/>
        <v>0</v>
      </c>
      <c r="W484" s="265">
        <f t="shared" si="262"/>
        <v>0</v>
      </c>
      <c r="X484" s="265">
        <f t="shared" si="262"/>
        <v>0</v>
      </c>
      <c r="Y484" s="265">
        <f t="shared" si="262"/>
        <v>0</v>
      </c>
      <c r="Z484" s="265">
        <f t="shared" si="262"/>
        <v>0</v>
      </c>
      <c r="AA484" s="265">
        <f t="shared" si="262"/>
        <v>0</v>
      </c>
      <c r="AB484" s="265">
        <f t="shared" si="262"/>
        <v>0</v>
      </c>
      <c r="AC484" s="265">
        <f t="shared" si="262"/>
        <v>0</v>
      </c>
      <c r="AD484" s="265">
        <f t="shared" si="262"/>
        <v>0</v>
      </c>
      <c r="AE484" s="265">
        <f t="shared" si="262"/>
        <v>0</v>
      </c>
      <c r="AF484" s="265">
        <f t="shared" si="262"/>
        <v>0</v>
      </c>
      <c r="AG484" s="265">
        <f t="shared" si="262"/>
        <v>0</v>
      </c>
      <c r="AH484" s="265">
        <f t="shared" si="262"/>
        <v>0</v>
      </c>
      <c r="AI484" s="265">
        <f t="shared" si="262"/>
        <v>0</v>
      </c>
      <c r="AJ484" s="265">
        <f t="shared" si="262"/>
        <v>0</v>
      </c>
      <c r="AK484" s="265">
        <f t="shared" si="262"/>
        <v>0</v>
      </c>
      <c r="AL484" s="265">
        <f t="shared" si="262"/>
        <v>0</v>
      </c>
    </row>
    <row r="485" spans="1:40" outlineLevel="1" x14ac:dyDescent="0.2">
      <c r="B485" s="234"/>
      <c r="D485" s="294"/>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c r="AB485" s="249"/>
      <c r="AC485" s="249"/>
      <c r="AD485" s="249"/>
      <c r="AE485" s="249"/>
      <c r="AF485" s="249"/>
      <c r="AG485" s="249"/>
      <c r="AH485" s="249"/>
      <c r="AI485" s="249"/>
      <c r="AJ485" s="249"/>
      <c r="AK485" s="249"/>
      <c r="AL485" s="249"/>
    </row>
    <row r="486" spans="1:40" outlineLevel="1" x14ac:dyDescent="0.2">
      <c r="B486" s="293" t="s">
        <v>285</v>
      </c>
      <c r="D486" s="294"/>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c r="AA486" s="249"/>
      <c r="AB486" s="249"/>
      <c r="AC486" s="249"/>
      <c r="AD486" s="249"/>
      <c r="AE486" s="249"/>
      <c r="AF486" s="249"/>
      <c r="AG486" s="249"/>
      <c r="AH486" s="249"/>
      <c r="AI486" s="249"/>
      <c r="AJ486" s="249"/>
      <c r="AK486" s="249"/>
      <c r="AL486" s="249"/>
    </row>
    <row r="487" spans="1:40" s="237" customFormat="1" outlineLevel="1" x14ac:dyDescent="0.2">
      <c r="B487" s="272" t="s">
        <v>286</v>
      </c>
      <c r="C487" s="247"/>
      <c r="D487" s="273"/>
      <c r="E487" s="289"/>
      <c r="F487" s="289"/>
      <c r="G487" s="289">
        <v>16.923064</v>
      </c>
      <c r="H487" s="288">
        <f>G492</f>
        <v>28.983917999999999</v>
      </c>
      <c r="I487" s="289">
        <v>28.758692</v>
      </c>
      <c r="J487" s="288">
        <f>I492</f>
        <v>29.793147999999999</v>
      </c>
      <c r="K487" s="288">
        <f t="shared" ref="K487:AL487" si="263">J492</f>
        <v>25.230954000000001</v>
      </c>
      <c r="L487" s="288">
        <f t="shared" si="263"/>
        <v>25.230954000000001</v>
      </c>
      <c r="M487" s="288">
        <f t="shared" si="263"/>
        <v>25.230954000000001</v>
      </c>
      <c r="N487" s="288">
        <f t="shared" si="263"/>
        <v>25.230954000000001</v>
      </c>
      <c r="O487" s="288">
        <f t="shared" si="263"/>
        <v>25.230954000000001</v>
      </c>
      <c r="P487" s="288">
        <f t="shared" si="263"/>
        <v>25.230954000000001</v>
      </c>
      <c r="Q487" s="288">
        <f t="shared" si="263"/>
        <v>25.230954000000001</v>
      </c>
      <c r="R487" s="288">
        <f t="shared" si="263"/>
        <v>25.230954000000001</v>
      </c>
      <c r="S487" s="288">
        <f t="shared" si="263"/>
        <v>25.230954000000001</v>
      </c>
      <c r="T487" s="288">
        <f t="shared" si="263"/>
        <v>25.230954000000001</v>
      </c>
      <c r="U487" s="288">
        <f t="shared" si="263"/>
        <v>25.230954000000001</v>
      </c>
      <c r="V487" s="288">
        <f t="shared" si="263"/>
        <v>25.230954000000001</v>
      </c>
      <c r="W487" s="288">
        <f t="shared" si="263"/>
        <v>25.230954000000001</v>
      </c>
      <c r="X487" s="288">
        <f t="shared" si="263"/>
        <v>25.230954000000001</v>
      </c>
      <c r="Y487" s="288">
        <f t="shared" si="263"/>
        <v>25.230954000000001</v>
      </c>
      <c r="Z487" s="288">
        <f t="shared" si="263"/>
        <v>25.230954000000001</v>
      </c>
      <c r="AA487" s="288">
        <f t="shared" si="263"/>
        <v>25.230954000000001</v>
      </c>
      <c r="AB487" s="288">
        <f t="shared" si="263"/>
        <v>25.230954000000001</v>
      </c>
      <c r="AC487" s="288">
        <f t="shared" si="263"/>
        <v>25.230954000000001</v>
      </c>
      <c r="AD487" s="288">
        <f t="shared" si="263"/>
        <v>25.230954000000001</v>
      </c>
      <c r="AE487" s="288">
        <f t="shared" si="263"/>
        <v>25.230954000000001</v>
      </c>
      <c r="AF487" s="288">
        <f t="shared" si="263"/>
        <v>25.230954000000001</v>
      </c>
      <c r="AG487" s="288">
        <f t="shared" si="263"/>
        <v>25.230954000000001</v>
      </c>
      <c r="AH487" s="288">
        <f t="shared" si="263"/>
        <v>25.230954000000001</v>
      </c>
      <c r="AI487" s="288">
        <f t="shared" si="263"/>
        <v>25.230954000000001</v>
      </c>
      <c r="AJ487" s="288">
        <f t="shared" si="263"/>
        <v>25.230954000000001</v>
      </c>
      <c r="AK487" s="288">
        <f t="shared" si="263"/>
        <v>25.230954000000001</v>
      </c>
      <c r="AL487" s="288">
        <f t="shared" si="263"/>
        <v>25.230954000000001</v>
      </c>
    </row>
    <row r="488" spans="1:40" outlineLevel="1" x14ac:dyDescent="0.2">
      <c r="B488" s="263" t="s">
        <v>287</v>
      </c>
      <c r="D488" s="294"/>
      <c r="E488" s="280"/>
      <c r="F488" s="280"/>
      <c r="G488" s="280">
        <v>17.325315</v>
      </c>
      <c r="H488" s="280">
        <f>17.111297-G488</f>
        <v>-0.21401799999999938</v>
      </c>
      <c r="I488" s="280">
        <v>10.458409</v>
      </c>
      <c r="J488" s="280">
        <f>10.726559-I488</f>
        <v>0.26815000000000033</v>
      </c>
      <c r="K488" s="547">
        <v>5</v>
      </c>
      <c r="L488" s="547">
        <v>3</v>
      </c>
      <c r="M488" s="547">
        <v>3</v>
      </c>
      <c r="N488" s="547">
        <v>3</v>
      </c>
      <c r="O488" s="547">
        <v>3</v>
      </c>
      <c r="P488" s="547">
        <v>3</v>
      </c>
      <c r="Q488" s="547">
        <v>3</v>
      </c>
      <c r="R488" s="547">
        <v>3</v>
      </c>
      <c r="S488" s="547">
        <v>3</v>
      </c>
      <c r="T488" s="547">
        <v>3</v>
      </c>
      <c r="U488" s="547">
        <v>3</v>
      </c>
      <c r="V488" s="547">
        <v>3</v>
      </c>
      <c r="W488" s="547">
        <v>3</v>
      </c>
      <c r="X488" s="547">
        <v>3</v>
      </c>
      <c r="Y488" s="547">
        <v>3</v>
      </c>
      <c r="Z488" s="547">
        <v>3</v>
      </c>
      <c r="AA488" s="547">
        <v>3</v>
      </c>
      <c r="AB488" s="547">
        <v>3</v>
      </c>
      <c r="AC488" s="547">
        <v>3</v>
      </c>
      <c r="AD488" s="547">
        <v>3</v>
      </c>
      <c r="AE488" s="547">
        <v>3</v>
      </c>
      <c r="AF488" s="547">
        <v>3</v>
      </c>
      <c r="AG488" s="547">
        <v>3</v>
      </c>
      <c r="AH488" s="547">
        <v>3</v>
      </c>
      <c r="AI488" s="547">
        <v>3</v>
      </c>
      <c r="AJ488" s="547">
        <v>3</v>
      </c>
      <c r="AK488" s="547">
        <v>3</v>
      </c>
      <c r="AL488" s="547">
        <v>3</v>
      </c>
    </row>
    <row r="489" spans="1:40" outlineLevel="1" x14ac:dyDescent="0.2">
      <c r="B489" s="263" t="s">
        <v>288</v>
      </c>
      <c r="D489" s="294"/>
      <c r="E489" s="280"/>
      <c r="F489" s="280"/>
      <c r="G489" s="280">
        <v>-1.0530330000000001</v>
      </c>
      <c r="H489" s="280">
        <f>-1.064241-G489</f>
        <v>-1.1207999999999885E-2</v>
      </c>
      <c r="I489" s="280">
        <v>0</v>
      </c>
      <c r="J489" s="280">
        <f>-4.743086-I489</f>
        <v>-4.7430859999999999</v>
      </c>
      <c r="K489" s="547">
        <v>0</v>
      </c>
      <c r="L489" s="547">
        <v>0</v>
      </c>
      <c r="M489" s="547">
        <v>0</v>
      </c>
      <c r="N489" s="547">
        <v>0</v>
      </c>
      <c r="O489" s="547">
        <v>0</v>
      </c>
      <c r="P489" s="547">
        <v>0</v>
      </c>
      <c r="Q489" s="547">
        <v>0</v>
      </c>
      <c r="R489" s="547">
        <v>0</v>
      </c>
      <c r="S489" s="547">
        <v>0</v>
      </c>
      <c r="T489" s="547">
        <v>0</v>
      </c>
      <c r="U489" s="547">
        <v>0</v>
      </c>
      <c r="V489" s="547">
        <v>0</v>
      </c>
      <c r="W489" s="547">
        <v>0</v>
      </c>
      <c r="X489" s="547">
        <v>0</v>
      </c>
      <c r="Y489" s="547">
        <v>0</v>
      </c>
      <c r="Z489" s="547">
        <v>0</v>
      </c>
      <c r="AA489" s="547">
        <v>0</v>
      </c>
      <c r="AB489" s="547">
        <v>0</v>
      </c>
      <c r="AC489" s="547">
        <v>0</v>
      </c>
      <c r="AD489" s="547">
        <v>0</v>
      </c>
      <c r="AE489" s="547">
        <v>0</v>
      </c>
      <c r="AF489" s="547">
        <v>0</v>
      </c>
      <c r="AG489" s="547">
        <v>0</v>
      </c>
      <c r="AH489" s="547">
        <v>0</v>
      </c>
      <c r="AI489" s="547">
        <v>0</v>
      </c>
      <c r="AJ489" s="547">
        <v>0</v>
      </c>
      <c r="AK489" s="547">
        <v>0</v>
      </c>
      <c r="AL489" s="547">
        <v>0</v>
      </c>
    </row>
    <row r="490" spans="1:40" outlineLevel="1" x14ac:dyDescent="0.2">
      <c r="B490" s="263" t="s">
        <v>289</v>
      </c>
      <c r="D490" s="294"/>
      <c r="E490" s="280"/>
      <c r="F490" s="280"/>
      <c r="G490" s="280">
        <v>-4.2114279999999997</v>
      </c>
      <c r="H490" s="280">
        <f>-4.211428-G490</f>
        <v>0</v>
      </c>
      <c r="I490" s="280">
        <v>-9.4239529999999991</v>
      </c>
      <c r="J490" s="280">
        <f>-9.511221-I490</f>
        <v>-8.7268000000001678E-2</v>
      </c>
      <c r="K490" s="547">
        <v>-5</v>
      </c>
      <c r="L490" s="232">
        <f>-L488</f>
        <v>-3</v>
      </c>
      <c r="M490" s="232">
        <f t="shared" ref="M490:AL490" si="264">-M488</f>
        <v>-3</v>
      </c>
      <c r="N490" s="232">
        <f t="shared" si="264"/>
        <v>-3</v>
      </c>
      <c r="O490" s="232">
        <f t="shared" si="264"/>
        <v>-3</v>
      </c>
      <c r="P490" s="232">
        <f t="shared" si="264"/>
        <v>-3</v>
      </c>
      <c r="Q490" s="232">
        <f t="shared" si="264"/>
        <v>-3</v>
      </c>
      <c r="R490" s="232">
        <f t="shared" si="264"/>
        <v>-3</v>
      </c>
      <c r="S490" s="232">
        <f t="shared" si="264"/>
        <v>-3</v>
      </c>
      <c r="T490" s="232">
        <f t="shared" si="264"/>
        <v>-3</v>
      </c>
      <c r="U490" s="232">
        <f t="shared" si="264"/>
        <v>-3</v>
      </c>
      <c r="V490" s="232">
        <f t="shared" si="264"/>
        <v>-3</v>
      </c>
      <c r="W490" s="232">
        <f t="shared" si="264"/>
        <v>-3</v>
      </c>
      <c r="X490" s="232">
        <f t="shared" si="264"/>
        <v>-3</v>
      </c>
      <c r="Y490" s="232">
        <f t="shared" si="264"/>
        <v>-3</v>
      </c>
      <c r="Z490" s="232">
        <f t="shared" si="264"/>
        <v>-3</v>
      </c>
      <c r="AA490" s="232">
        <f t="shared" si="264"/>
        <v>-3</v>
      </c>
      <c r="AB490" s="232">
        <f t="shared" si="264"/>
        <v>-3</v>
      </c>
      <c r="AC490" s="232">
        <f t="shared" si="264"/>
        <v>-3</v>
      </c>
      <c r="AD490" s="232">
        <f t="shared" si="264"/>
        <v>-3</v>
      </c>
      <c r="AE490" s="232">
        <f t="shared" si="264"/>
        <v>-3</v>
      </c>
      <c r="AF490" s="232">
        <f t="shared" si="264"/>
        <v>-3</v>
      </c>
      <c r="AG490" s="232">
        <f t="shared" si="264"/>
        <v>-3</v>
      </c>
      <c r="AH490" s="232">
        <f t="shared" si="264"/>
        <v>-3</v>
      </c>
      <c r="AI490" s="232">
        <f t="shared" si="264"/>
        <v>-3</v>
      </c>
      <c r="AJ490" s="232">
        <f t="shared" si="264"/>
        <v>-3</v>
      </c>
      <c r="AK490" s="232">
        <f t="shared" si="264"/>
        <v>-3</v>
      </c>
      <c r="AL490" s="232">
        <f t="shared" si="264"/>
        <v>-3</v>
      </c>
    </row>
    <row r="491" spans="1:40" s="262" customFormat="1" outlineLevel="1" x14ac:dyDescent="0.2">
      <c r="A491" s="286"/>
      <c r="B491" s="251" t="s">
        <v>67</v>
      </c>
      <c r="C491" s="260" t="s">
        <v>67</v>
      </c>
      <c r="D491" s="279"/>
      <c r="E491" s="287"/>
      <c r="F491" s="287"/>
      <c r="G491" s="287" t="s">
        <v>67</v>
      </c>
      <c r="H491" s="287" t="s">
        <v>67</v>
      </c>
      <c r="I491" s="287" t="s">
        <v>67</v>
      </c>
      <c r="J491" s="287" t="s">
        <v>67</v>
      </c>
      <c r="K491" s="287" t="s">
        <v>67</v>
      </c>
      <c r="L491" s="287" t="s">
        <v>67</v>
      </c>
      <c r="M491" s="287" t="s">
        <v>67</v>
      </c>
      <c r="N491" s="287" t="s">
        <v>67</v>
      </c>
      <c r="O491" s="287" t="s">
        <v>67</v>
      </c>
      <c r="P491" s="287" t="s">
        <v>67</v>
      </c>
      <c r="Q491" s="287" t="s">
        <v>67</v>
      </c>
      <c r="R491" s="287" t="s">
        <v>67</v>
      </c>
      <c r="S491" s="287" t="s">
        <v>67</v>
      </c>
      <c r="T491" s="287" t="s">
        <v>67</v>
      </c>
      <c r="U491" s="287" t="s">
        <v>67</v>
      </c>
      <c r="V491" s="287" t="s">
        <v>67</v>
      </c>
      <c r="W491" s="287" t="s">
        <v>67</v>
      </c>
      <c r="X491" s="287" t="s">
        <v>67</v>
      </c>
      <c r="Y491" s="287" t="s">
        <v>67</v>
      </c>
      <c r="Z491" s="287" t="s">
        <v>67</v>
      </c>
      <c r="AA491" s="287" t="s">
        <v>67</v>
      </c>
      <c r="AB491" s="287" t="s">
        <v>67</v>
      </c>
      <c r="AC491" s="287" t="s">
        <v>67</v>
      </c>
      <c r="AD491" s="287" t="s">
        <v>67</v>
      </c>
      <c r="AE491" s="287" t="s">
        <v>67</v>
      </c>
      <c r="AF491" s="287" t="s">
        <v>67</v>
      </c>
      <c r="AG491" s="287" t="s">
        <v>67</v>
      </c>
      <c r="AH491" s="287" t="s">
        <v>67</v>
      </c>
      <c r="AI491" s="287" t="s">
        <v>67</v>
      </c>
      <c r="AJ491" s="287" t="s">
        <v>67</v>
      </c>
      <c r="AK491" s="287" t="s">
        <v>67</v>
      </c>
      <c r="AL491" s="287" t="s">
        <v>67</v>
      </c>
    </row>
    <row r="492" spans="1:40" s="237" customFormat="1" outlineLevel="1" x14ac:dyDescent="0.2">
      <c r="B492" s="272" t="s">
        <v>290</v>
      </c>
      <c r="C492" s="247" t="s">
        <v>280</v>
      </c>
      <c r="D492" s="273"/>
      <c r="E492" s="289"/>
      <c r="F492" s="289"/>
      <c r="G492" s="289">
        <v>28.983917999999999</v>
      </c>
      <c r="H492" s="289">
        <v>28.758692</v>
      </c>
      <c r="I492" s="289">
        <v>29.793147999999999</v>
      </c>
      <c r="J492" s="289">
        <v>25.230954000000001</v>
      </c>
      <c r="K492" s="267">
        <f t="shared" ref="K492:AL492" si="265">SUM(K487:K491)</f>
        <v>25.230954000000001</v>
      </c>
      <c r="L492" s="267">
        <f t="shared" si="265"/>
        <v>25.230954000000001</v>
      </c>
      <c r="M492" s="267">
        <f t="shared" si="265"/>
        <v>25.230954000000001</v>
      </c>
      <c r="N492" s="267">
        <f t="shared" si="265"/>
        <v>25.230954000000001</v>
      </c>
      <c r="O492" s="267">
        <f t="shared" si="265"/>
        <v>25.230954000000001</v>
      </c>
      <c r="P492" s="267">
        <f t="shared" si="265"/>
        <v>25.230954000000001</v>
      </c>
      <c r="Q492" s="267">
        <f t="shared" si="265"/>
        <v>25.230954000000001</v>
      </c>
      <c r="R492" s="267">
        <f t="shared" si="265"/>
        <v>25.230954000000001</v>
      </c>
      <c r="S492" s="267">
        <f t="shared" si="265"/>
        <v>25.230954000000001</v>
      </c>
      <c r="T492" s="267">
        <f t="shared" si="265"/>
        <v>25.230954000000001</v>
      </c>
      <c r="U492" s="267">
        <f t="shared" si="265"/>
        <v>25.230954000000001</v>
      </c>
      <c r="V492" s="267">
        <f t="shared" si="265"/>
        <v>25.230954000000001</v>
      </c>
      <c r="W492" s="267">
        <f t="shared" si="265"/>
        <v>25.230954000000001</v>
      </c>
      <c r="X492" s="267">
        <f t="shared" si="265"/>
        <v>25.230954000000001</v>
      </c>
      <c r="Y492" s="267">
        <f t="shared" si="265"/>
        <v>25.230954000000001</v>
      </c>
      <c r="Z492" s="267">
        <f t="shared" si="265"/>
        <v>25.230954000000001</v>
      </c>
      <c r="AA492" s="267">
        <f t="shared" si="265"/>
        <v>25.230954000000001</v>
      </c>
      <c r="AB492" s="267">
        <f t="shared" si="265"/>
        <v>25.230954000000001</v>
      </c>
      <c r="AC492" s="267">
        <f t="shared" si="265"/>
        <v>25.230954000000001</v>
      </c>
      <c r="AD492" s="267">
        <f t="shared" si="265"/>
        <v>25.230954000000001</v>
      </c>
      <c r="AE492" s="267">
        <f t="shared" si="265"/>
        <v>25.230954000000001</v>
      </c>
      <c r="AF492" s="267">
        <f t="shared" si="265"/>
        <v>25.230954000000001</v>
      </c>
      <c r="AG492" s="267">
        <f t="shared" si="265"/>
        <v>25.230954000000001</v>
      </c>
      <c r="AH492" s="267">
        <f t="shared" si="265"/>
        <v>25.230954000000001</v>
      </c>
      <c r="AI492" s="267">
        <f t="shared" si="265"/>
        <v>25.230954000000001</v>
      </c>
      <c r="AJ492" s="267">
        <f t="shared" si="265"/>
        <v>25.230954000000001</v>
      </c>
      <c r="AK492" s="267">
        <f t="shared" si="265"/>
        <v>25.230954000000001</v>
      </c>
      <c r="AL492" s="267">
        <f t="shared" si="265"/>
        <v>25.230954000000001</v>
      </c>
    </row>
    <row r="493" spans="1:40" s="237" customFormat="1" outlineLevel="1" x14ac:dyDescent="0.2">
      <c r="B493" s="417" t="s">
        <v>160</v>
      </c>
      <c r="C493" s="247"/>
      <c r="D493" s="273"/>
      <c r="E493" s="289"/>
      <c r="F493" s="289"/>
      <c r="G493" s="305">
        <f t="shared" ref="G493:AL493" si="266">G492-SUM(G487:G491)</f>
        <v>0</v>
      </c>
      <c r="H493" s="305">
        <f t="shared" si="266"/>
        <v>0</v>
      </c>
      <c r="I493" s="305">
        <f t="shared" si="266"/>
        <v>0</v>
      </c>
      <c r="J493" s="305">
        <f t="shared" ref="J493" si="267">J492-SUM(J487:J491)</f>
        <v>9.9999999996214228E-6</v>
      </c>
      <c r="K493" s="305">
        <f t="shared" si="266"/>
        <v>0</v>
      </c>
      <c r="L493" s="305">
        <f t="shared" si="266"/>
        <v>0</v>
      </c>
      <c r="M493" s="305">
        <f t="shared" si="266"/>
        <v>0</v>
      </c>
      <c r="N493" s="305">
        <f t="shared" si="266"/>
        <v>0</v>
      </c>
      <c r="O493" s="305">
        <f t="shared" si="266"/>
        <v>0</v>
      </c>
      <c r="P493" s="305">
        <f t="shared" si="266"/>
        <v>0</v>
      </c>
      <c r="Q493" s="305">
        <f t="shared" si="266"/>
        <v>0</v>
      </c>
      <c r="R493" s="305">
        <f t="shared" si="266"/>
        <v>0</v>
      </c>
      <c r="S493" s="305">
        <f t="shared" si="266"/>
        <v>0</v>
      </c>
      <c r="T493" s="305">
        <f t="shared" si="266"/>
        <v>0</v>
      </c>
      <c r="U493" s="305">
        <f t="shared" si="266"/>
        <v>0</v>
      </c>
      <c r="V493" s="305">
        <f t="shared" si="266"/>
        <v>0</v>
      </c>
      <c r="W493" s="305">
        <f t="shared" si="266"/>
        <v>0</v>
      </c>
      <c r="X493" s="305">
        <f t="shared" si="266"/>
        <v>0</v>
      </c>
      <c r="Y493" s="305">
        <f t="shared" si="266"/>
        <v>0</v>
      </c>
      <c r="Z493" s="305">
        <f t="shared" si="266"/>
        <v>0</v>
      </c>
      <c r="AA493" s="305">
        <f t="shared" si="266"/>
        <v>0</v>
      </c>
      <c r="AB493" s="305">
        <f t="shared" si="266"/>
        <v>0</v>
      </c>
      <c r="AC493" s="305">
        <f t="shared" si="266"/>
        <v>0</v>
      </c>
      <c r="AD493" s="305">
        <f t="shared" si="266"/>
        <v>0</v>
      </c>
      <c r="AE493" s="305">
        <f t="shared" si="266"/>
        <v>0</v>
      </c>
      <c r="AF493" s="305">
        <f t="shared" si="266"/>
        <v>0</v>
      </c>
      <c r="AG493" s="305">
        <f t="shared" si="266"/>
        <v>0</v>
      </c>
      <c r="AH493" s="305">
        <f t="shared" si="266"/>
        <v>0</v>
      </c>
      <c r="AI493" s="305">
        <f t="shared" si="266"/>
        <v>0</v>
      </c>
      <c r="AJ493" s="305">
        <f t="shared" si="266"/>
        <v>0</v>
      </c>
      <c r="AK493" s="305">
        <f t="shared" si="266"/>
        <v>0</v>
      </c>
      <c r="AL493" s="305">
        <f t="shared" si="266"/>
        <v>0</v>
      </c>
    </row>
    <row r="494" spans="1:40" outlineLevel="1" x14ac:dyDescent="0.2">
      <c r="B494" s="295"/>
      <c r="D494" s="294"/>
      <c r="E494" s="231"/>
      <c r="F494" s="231"/>
      <c r="G494" s="231"/>
      <c r="H494" s="231"/>
      <c r="I494" s="231"/>
      <c r="J494" s="264"/>
      <c r="K494" s="264"/>
      <c r="L494" s="264"/>
      <c r="M494" s="264"/>
      <c r="N494" s="264"/>
      <c r="O494" s="264"/>
      <c r="P494" s="264"/>
      <c r="Q494" s="264"/>
      <c r="R494" s="264"/>
      <c r="S494" s="264"/>
      <c r="T494" s="264"/>
      <c r="U494" s="264"/>
      <c r="V494" s="264"/>
      <c r="W494" s="264"/>
      <c r="X494" s="264"/>
      <c r="Y494" s="264"/>
      <c r="Z494" s="264"/>
      <c r="AA494" s="264"/>
      <c r="AB494" s="264"/>
      <c r="AC494" s="264"/>
      <c r="AD494" s="264"/>
      <c r="AE494" s="264"/>
      <c r="AF494" s="264"/>
      <c r="AG494" s="264"/>
      <c r="AH494" s="264"/>
      <c r="AI494" s="264"/>
      <c r="AJ494" s="264"/>
      <c r="AK494" s="264"/>
      <c r="AL494" s="264"/>
    </row>
    <row r="495" spans="1:40" outlineLevel="1" x14ac:dyDescent="0.2">
      <c r="B495" s="293" t="s">
        <v>291</v>
      </c>
      <c r="D495" s="294"/>
      <c r="E495" s="256"/>
      <c r="F495" s="256"/>
      <c r="G495" s="249"/>
      <c r="H495" s="249"/>
      <c r="I495" s="249"/>
      <c r="J495" s="249"/>
      <c r="K495" s="249"/>
      <c r="L495" s="249"/>
      <c r="M495" s="249"/>
      <c r="N495" s="249"/>
      <c r="O495" s="249"/>
      <c r="P495" s="249"/>
      <c r="Q495" s="249"/>
      <c r="R495" s="249"/>
      <c r="S495" s="249"/>
      <c r="T495" s="249"/>
      <c r="U495" s="249"/>
      <c r="V495" s="249"/>
      <c r="W495" s="249"/>
      <c r="X495" s="249"/>
      <c r="Y495" s="249"/>
      <c r="Z495" s="249"/>
      <c r="AA495" s="249"/>
      <c r="AB495" s="249"/>
      <c r="AC495" s="249"/>
      <c r="AD495" s="249"/>
      <c r="AE495" s="249"/>
      <c r="AF495" s="249"/>
      <c r="AG495" s="249"/>
      <c r="AH495" s="249"/>
      <c r="AI495" s="249"/>
      <c r="AJ495" s="249"/>
      <c r="AK495" s="249"/>
      <c r="AL495" s="249"/>
    </row>
    <row r="496" spans="1:40" outlineLevel="1" x14ac:dyDescent="0.2">
      <c r="B496" s="263" t="s">
        <v>292</v>
      </c>
      <c r="C496" s="205" t="s">
        <v>280</v>
      </c>
      <c r="D496" s="280"/>
      <c r="E496" s="280"/>
      <c r="F496" s="284"/>
      <c r="G496" s="257">
        <v>296.34443900000002</v>
      </c>
      <c r="H496" s="284">
        <f t="shared" ref="H496:AL496" si="268">G500</f>
        <v>566.18661899999995</v>
      </c>
      <c r="I496" s="284">
        <f t="shared" si="268"/>
        <v>1025.5177160000001</v>
      </c>
      <c r="J496" s="284">
        <f t="shared" si="268"/>
        <v>1042.6569830000001</v>
      </c>
      <c r="K496" s="256">
        <f t="shared" si="268"/>
        <v>1046.306313</v>
      </c>
      <c r="L496" s="256">
        <f t="shared" si="268"/>
        <v>1051.306313</v>
      </c>
      <c r="M496" s="256">
        <f t="shared" si="268"/>
        <v>1054.306313</v>
      </c>
      <c r="N496" s="256">
        <f t="shared" si="268"/>
        <v>1057.306313</v>
      </c>
      <c r="O496" s="256">
        <f t="shared" si="268"/>
        <v>1060.306313</v>
      </c>
      <c r="P496" s="256">
        <f t="shared" si="268"/>
        <v>1063.306313</v>
      </c>
      <c r="Q496" s="256">
        <f t="shared" si="268"/>
        <v>1066.306313</v>
      </c>
      <c r="R496" s="256">
        <f t="shared" si="268"/>
        <v>1069.306313</v>
      </c>
      <c r="S496" s="256">
        <f t="shared" si="268"/>
        <v>1072.306313</v>
      </c>
      <c r="T496" s="256">
        <f t="shared" si="268"/>
        <v>1075.306313</v>
      </c>
      <c r="U496" s="256">
        <f t="shared" si="268"/>
        <v>1078.306313</v>
      </c>
      <c r="V496" s="256">
        <f t="shared" si="268"/>
        <v>1081.306313</v>
      </c>
      <c r="W496" s="256">
        <f t="shared" si="268"/>
        <v>1084.306313</v>
      </c>
      <c r="X496" s="256">
        <f t="shared" si="268"/>
        <v>1087.306313</v>
      </c>
      <c r="Y496" s="256">
        <f t="shared" si="268"/>
        <v>1090.306313</v>
      </c>
      <c r="Z496" s="256">
        <f t="shared" si="268"/>
        <v>1093.306313</v>
      </c>
      <c r="AA496" s="256">
        <f t="shared" si="268"/>
        <v>1096.306313</v>
      </c>
      <c r="AB496" s="256">
        <f t="shared" si="268"/>
        <v>1099.306313</v>
      </c>
      <c r="AC496" s="256">
        <f t="shared" si="268"/>
        <v>1102.306313</v>
      </c>
      <c r="AD496" s="256">
        <f t="shared" si="268"/>
        <v>1105.306313</v>
      </c>
      <c r="AE496" s="256">
        <f t="shared" si="268"/>
        <v>1108.306313</v>
      </c>
      <c r="AF496" s="256">
        <f t="shared" si="268"/>
        <v>1111.306313</v>
      </c>
      <c r="AG496" s="256">
        <f t="shared" si="268"/>
        <v>1114.306313</v>
      </c>
      <c r="AH496" s="256">
        <f t="shared" si="268"/>
        <v>1117.306313</v>
      </c>
      <c r="AI496" s="256">
        <f t="shared" si="268"/>
        <v>1120.306313</v>
      </c>
      <c r="AJ496" s="256">
        <f t="shared" si="268"/>
        <v>1123.306313</v>
      </c>
      <c r="AK496" s="256">
        <f t="shared" si="268"/>
        <v>1126.306313</v>
      </c>
      <c r="AL496" s="256">
        <f t="shared" si="268"/>
        <v>1129.306313</v>
      </c>
    </row>
    <row r="497" spans="1:38" outlineLevel="1" x14ac:dyDescent="0.2">
      <c r="B497" s="295" t="s">
        <v>293</v>
      </c>
      <c r="C497" s="205" t="s">
        <v>280</v>
      </c>
      <c r="D497" s="280"/>
      <c r="E497" s="256"/>
      <c r="F497" s="256"/>
      <c r="G497" s="256">
        <f t="shared" ref="G497:AL497" si="269">G479</f>
        <v>265.38946499999997</v>
      </c>
      <c r="H497" s="256">
        <f t="shared" si="269"/>
        <v>459.28829300000001</v>
      </c>
      <c r="I497" s="256">
        <f t="shared" si="269"/>
        <v>132.74183300000001</v>
      </c>
      <c r="J497" s="256">
        <f t="shared" ref="J497" si="270">J479</f>
        <v>7.1404439999999996</v>
      </c>
      <c r="K497" s="256">
        <f t="shared" si="269"/>
        <v>0</v>
      </c>
      <c r="L497" s="256">
        <f t="shared" si="269"/>
        <v>0</v>
      </c>
      <c r="M497" s="256">
        <f t="shared" si="269"/>
        <v>0</v>
      </c>
      <c r="N497" s="256">
        <f t="shared" si="269"/>
        <v>0</v>
      </c>
      <c r="O497" s="256">
        <f t="shared" si="269"/>
        <v>0</v>
      </c>
      <c r="P497" s="256">
        <f t="shared" si="269"/>
        <v>0</v>
      </c>
      <c r="Q497" s="256">
        <f t="shared" si="269"/>
        <v>0</v>
      </c>
      <c r="R497" s="256">
        <f t="shared" si="269"/>
        <v>0</v>
      </c>
      <c r="S497" s="256">
        <f t="shared" si="269"/>
        <v>0</v>
      </c>
      <c r="T497" s="256">
        <f t="shared" si="269"/>
        <v>0</v>
      </c>
      <c r="U497" s="256">
        <f t="shared" si="269"/>
        <v>0</v>
      </c>
      <c r="V497" s="256">
        <f t="shared" si="269"/>
        <v>0</v>
      </c>
      <c r="W497" s="256">
        <f t="shared" si="269"/>
        <v>0</v>
      </c>
      <c r="X497" s="256">
        <f t="shared" si="269"/>
        <v>0</v>
      </c>
      <c r="Y497" s="256">
        <f t="shared" si="269"/>
        <v>0</v>
      </c>
      <c r="Z497" s="256">
        <f t="shared" si="269"/>
        <v>0</v>
      </c>
      <c r="AA497" s="256">
        <f t="shared" si="269"/>
        <v>0</v>
      </c>
      <c r="AB497" s="256">
        <f t="shared" si="269"/>
        <v>0</v>
      </c>
      <c r="AC497" s="256">
        <f t="shared" si="269"/>
        <v>0</v>
      </c>
      <c r="AD497" s="256">
        <f t="shared" si="269"/>
        <v>0</v>
      </c>
      <c r="AE497" s="256">
        <f t="shared" si="269"/>
        <v>0</v>
      </c>
      <c r="AF497" s="256">
        <f t="shared" si="269"/>
        <v>0</v>
      </c>
      <c r="AG497" s="256">
        <f t="shared" si="269"/>
        <v>0</v>
      </c>
      <c r="AH497" s="256">
        <f t="shared" si="269"/>
        <v>0</v>
      </c>
      <c r="AI497" s="256">
        <f t="shared" si="269"/>
        <v>0</v>
      </c>
      <c r="AJ497" s="256">
        <f t="shared" si="269"/>
        <v>0</v>
      </c>
      <c r="AK497" s="256">
        <f t="shared" si="269"/>
        <v>0</v>
      </c>
      <c r="AL497" s="256">
        <f t="shared" si="269"/>
        <v>0</v>
      </c>
    </row>
    <row r="498" spans="1:38" outlineLevel="1" x14ac:dyDescent="0.2">
      <c r="B498" s="295" t="s">
        <v>294</v>
      </c>
      <c r="C498" s="205" t="s">
        <v>280</v>
      </c>
      <c r="D498" s="280"/>
      <c r="E498" s="256"/>
      <c r="F498" s="256"/>
      <c r="G498" s="256">
        <f t="shared" ref="G498:AL498" si="271">-G490</f>
        <v>4.2114279999999997</v>
      </c>
      <c r="H498" s="256">
        <f t="shared" si="271"/>
        <v>0</v>
      </c>
      <c r="I498" s="256">
        <f t="shared" si="271"/>
        <v>9.4239529999999991</v>
      </c>
      <c r="J498" s="256">
        <f t="shared" ref="J498" si="272">-J490</f>
        <v>8.7268000000001678E-2</v>
      </c>
      <c r="K498" s="256">
        <f t="shared" si="271"/>
        <v>5</v>
      </c>
      <c r="L498" s="256">
        <f t="shared" si="271"/>
        <v>3</v>
      </c>
      <c r="M498" s="256">
        <f t="shared" si="271"/>
        <v>3</v>
      </c>
      <c r="N498" s="256">
        <f t="shared" si="271"/>
        <v>3</v>
      </c>
      <c r="O498" s="256">
        <f t="shared" si="271"/>
        <v>3</v>
      </c>
      <c r="P498" s="256">
        <f t="shared" si="271"/>
        <v>3</v>
      </c>
      <c r="Q498" s="256">
        <f t="shared" si="271"/>
        <v>3</v>
      </c>
      <c r="R498" s="256">
        <f t="shared" si="271"/>
        <v>3</v>
      </c>
      <c r="S498" s="256">
        <f t="shared" si="271"/>
        <v>3</v>
      </c>
      <c r="T498" s="256">
        <f t="shared" si="271"/>
        <v>3</v>
      </c>
      <c r="U498" s="256">
        <f t="shared" si="271"/>
        <v>3</v>
      </c>
      <c r="V498" s="256">
        <f t="shared" si="271"/>
        <v>3</v>
      </c>
      <c r="W498" s="256">
        <f t="shared" si="271"/>
        <v>3</v>
      </c>
      <c r="X498" s="256">
        <f t="shared" si="271"/>
        <v>3</v>
      </c>
      <c r="Y498" s="256">
        <f t="shared" si="271"/>
        <v>3</v>
      </c>
      <c r="Z498" s="256">
        <f t="shared" si="271"/>
        <v>3</v>
      </c>
      <c r="AA498" s="256">
        <f t="shared" si="271"/>
        <v>3</v>
      </c>
      <c r="AB498" s="256">
        <f t="shared" si="271"/>
        <v>3</v>
      </c>
      <c r="AC498" s="256">
        <f t="shared" si="271"/>
        <v>3</v>
      </c>
      <c r="AD498" s="256">
        <f t="shared" si="271"/>
        <v>3</v>
      </c>
      <c r="AE498" s="256">
        <f t="shared" si="271"/>
        <v>3</v>
      </c>
      <c r="AF498" s="256">
        <f t="shared" si="271"/>
        <v>3</v>
      </c>
      <c r="AG498" s="256">
        <f t="shared" si="271"/>
        <v>3</v>
      </c>
      <c r="AH498" s="256">
        <f t="shared" si="271"/>
        <v>3</v>
      </c>
      <c r="AI498" s="256">
        <f t="shared" si="271"/>
        <v>3</v>
      </c>
      <c r="AJ498" s="256">
        <f t="shared" si="271"/>
        <v>3</v>
      </c>
      <c r="AK498" s="256">
        <f t="shared" si="271"/>
        <v>3</v>
      </c>
      <c r="AL498" s="256">
        <f t="shared" si="271"/>
        <v>3</v>
      </c>
    </row>
    <row r="499" spans="1:38" outlineLevel="1" x14ac:dyDescent="0.2">
      <c r="B499" s="295" t="s">
        <v>295</v>
      </c>
      <c r="C499" s="205" t="s">
        <v>280</v>
      </c>
      <c r="D499" s="280"/>
      <c r="E499" s="256"/>
      <c r="F499" s="256"/>
      <c r="G499" s="256">
        <f t="shared" ref="G499:AL499" si="273">G484</f>
        <v>0</v>
      </c>
      <c r="H499" s="256">
        <f t="shared" si="273"/>
        <v>0</v>
      </c>
      <c r="I499" s="256">
        <f t="shared" si="273"/>
        <v>-127.029704</v>
      </c>
      <c r="J499" s="256">
        <f t="shared" ref="J499" si="274">J484</f>
        <v>0</v>
      </c>
      <c r="K499" s="256">
        <f t="shared" si="273"/>
        <v>0</v>
      </c>
      <c r="L499" s="256">
        <f t="shared" si="273"/>
        <v>0</v>
      </c>
      <c r="M499" s="256">
        <f t="shared" si="273"/>
        <v>0</v>
      </c>
      <c r="N499" s="256">
        <f t="shared" si="273"/>
        <v>0</v>
      </c>
      <c r="O499" s="256">
        <f t="shared" si="273"/>
        <v>0</v>
      </c>
      <c r="P499" s="256">
        <f t="shared" si="273"/>
        <v>0</v>
      </c>
      <c r="Q499" s="256">
        <f t="shared" si="273"/>
        <v>0</v>
      </c>
      <c r="R499" s="256">
        <f t="shared" si="273"/>
        <v>0</v>
      </c>
      <c r="S499" s="256">
        <f t="shared" si="273"/>
        <v>0</v>
      </c>
      <c r="T499" s="256">
        <f t="shared" si="273"/>
        <v>0</v>
      </c>
      <c r="U499" s="256">
        <f t="shared" si="273"/>
        <v>0</v>
      </c>
      <c r="V499" s="256">
        <f t="shared" si="273"/>
        <v>0</v>
      </c>
      <c r="W499" s="256">
        <f t="shared" si="273"/>
        <v>0</v>
      </c>
      <c r="X499" s="256">
        <f t="shared" si="273"/>
        <v>0</v>
      </c>
      <c r="Y499" s="256">
        <f t="shared" si="273"/>
        <v>0</v>
      </c>
      <c r="Z499" s="256">
        <f t="shared" si="273"/>
        <v>0</v>
      </c>
      <c r="AA499" s="256">
        <f t="shared" si="273"/>
        <v>0</v>
      </c>
      <c r="AB499" s="256">
        <f t="shared" si="273"/>
        <v>0</v>
      </c>
      <c r="AC499" s="256">
        <f t="shared" si="273"/>
        <v>0</v>
      </c>
      <c r="AD499" s="256">
        <f t="shared" si="273"/>
        <v>0</v>
      </c>
      <c r="AE499" s="256">
        <f t="shared" si="273"/>
        <v>0</v>
      </c>
      <c r="AF499" s="256">
        <f t="shared" si="273"/>
        <v>0</v>
      </c>
      <c r="AG499" s="256">
        <f t="shared" si="273"/>
        <v>0</v>
      </c>
      <c r="AH499" s="256">
        <f t="shared" si="273"/>
        <v>0</v>
      </c>
      <c r="AI499" s="256">
        <f t="shared" si="273"/>
        <v>0</v>
      </c>
      <c r="AJ499" s="256">
        <f t="shared" si="273"/>
        <v>0</v>
      </c>
      <c r="AK499" s="256">
        <f t="shared" si="273"/>
        <v>0</v>
      </c>
      <c r="AL499" s="256">
        <f t="shared" si="273"/>
        <v>0</v>
      </c>
    </row>
    <row r="500" spans="1:38" s="237" customFormat="1" outlineLevel="1" x14ac:dyDescent="0.2">
      <c r="A500" s="218"/>
      <c r="B500" s="290" t="s">
        <v>296</v>
      </c>
      <c r="C500" s="247" t="s">
        <v>280</v>
      </c>
      <c r="D500" s="273"/>
      <c r="E500" s="257"/>
      <c r="F500" s="257"/>
      <c r="G500" s="257">
        <v>566.18661899999995</v>
      </c>
      <c r="H500" s="257">
        <v>1025.5177160000001</v>
      </c>
      <c r="I500" s="257">
        <v>1042.6569830000001</v>
      </c>
      <c r="J500" s="257">
        <v>1046.306313</v>
      </c>
      <c r="K500" s="248">
        <f t="shared" ref="K500:AL500" si="275">SUM(K496:K499)</f>
        <v>1051.306313</v>
      </c>
      <c r="L500" s="248">
        <f t="shared" si="275"/>
        <v>1054.306313</v>
      </c>
      <c r="M500" s="248">
        <f t="shared" si="275"/>
        <v>1057.306313</v>
      </c>
      <c r="N500" s="248">
        <f t="shared" si="275"/>
        <v>1060.306313</v>
      </c>
      <c r="O500" s="248">
        <f t="shared" si="275"/>
        <v>1063.306313</v>
      </c>
      <c r="P500" s="248">
        <f t="shared" si="275"/>
        <v>1066.306313</v>
      </c>
      <c r="Q500" s="248">
        <f t="shared" si="275"/>
        <v>1069.306313</v>
      </c>
      <c r="R500" s="248">
        <f t="shared" si="275"/>
        <v>1072.306313</v>
      </c>
      <c r="S500" s="248">
        <f t="shared" si="275"/>
        <v>1075.306313</v>
      </c>
      <c r="T500" s="248">
        <f t="shared" si="275"/>
        <v>1078.306313</v>
      </c>
      <c r="U500" s="248">
        <f t="shared" si="275"/>
        <v>1081.306313</v>
      </c>
      <c r="V500" s="248">
        <f t="shared" si="275"/>
        <v>1084.306313</v>
      </c>
      <c r="W500" s="248">
        <f t="shared" si="275"/>
        <v>1087.306313</v>
      </c>
      <c r="X500" s="248">
        <f t="shared" si="275"/>
        <v>1090.306313</v>
      </c>
      <c r="Y500" s="248">
        <f t="shared" si="275"/>
        <v>1093.306313</v>
      </c>
      <c r="Z500" s="248">
        <f t="shared" si="275"/>
        <v>1096.306313</v>
      </c>
      <c r="AA500" s="248">
        <f t="shared" si="275"/>
        <v>1099.306313</v>
      </c>
      <c r="AB500" s="248">
        <f t="shared" si="275"/>
        <v>1102.306313</v>
      </c>
      <c r="AC500" s="248">
        <f t="shared" si="275"/>
        <v>1105.306313</v>
      </c>
      <c r="AD500" s="248">
        <f t="shared" si="275"/>
        <v>1108.306313</v>
      </c>
      <c r="AE500" s="248">
        <f t="shared" si="275"/>
        <v>1111.306313</v>
      </c>
      <c r="AF500" s="248">
        <f t="shared" si="275"/>
        <v>1114.306313</v>
      </c>
      <c r="AG500" s="248">
        <f t="shared" si="275"/>
        <v>1117.306313</v>
      </c>
      <c r="AH500" s="248">
        <f t="shared" si="275"/>
        <v>1120.306313</v>
      </c>
      <c r="AI500" s="248">
        <f t="shared" si="275"/>
        <v>1123.306313</v>
      </c>
      <c r="AJ500" s="248">
        <f t="shared" si="275"/>
        <v>1126.306313</v>
      </c>
      <c r="AK500" s="248">
        <f t="shared" si="275"/>
        <v>1129.306313</v>
      </c>
      <c r="AL500" s="248">
        <f t="shared" si="275"/>
        <v>1132.306313</v>
      </c>
    </row>
    <row r="501" spans="1:38" outlineLevel="1" x14ac:dyDescent="0.2">
      <c r="B501" s="234" t="s">
        <v>297</v>
      </c>
      <c r="C501" s="205" t="s">
        <v>280</v>
      </c>
      <c r="D501" s="294"/>
      <c r="E501" s="256"/>
      <c r="F501" s="256"/>
      <c r="G501" s="256">
        <f t="shared" ref="G501:AL501" si="276">AVERAGE(G500,G496)</f>
        <v>431.26552900000002</v>
      </c>
      <c r="H501" s="256">
        <f t="shared" si="276"/>
        <v>795.85216749999995</v>
      </c>
      <c r="I501" s="256">
        <f t="shared" si="276"/>
        <v>1034.0873495000001</v>
      </c>
      <c r="J501" s="256">
        <f t="shared" ref="J501" si="277">AVERAGE(J500,J496)</f>
        <v>1044.481648</v>
      </c>
      <c r="K501" s="256">
        <f t="shared" si="276"/>
        <v>1048.806313</v>
      </c>
      <c r="L501" s="256">
        <f t="shared" si="276"/>
        <v>1052.806313</v>
      </c>
      <c r="M501" s="256">
        <f t="shared" si="276"/>
        <v>1055.806313</v>
      </c>
      <c r="N501" s="256">
        <f t="shared" si="276"/>
        <v>1058.806313</v>
      </c>
      <c r="O501" s="256">
        <f t="shared" si="276"/>
        <v>1061.806313</v>
      </c>
      <c r="P501" s="256">
        <f t="shared" si="276"/>
        <v>1064.806313</v>
      </c>
      <c r="Q501" s="256">
        <f t="shared" si="276"/>
        <v>1067.806313</v>
      </c>
      <c r="R501" s="256">
        <f t="shared" si="276"/>
        <v>1070.806313</v>
      </c>
      <c r="S501" s="256">
        <f t="shared" si="276"/>
        <v>1073.806313</v>
      </c>
      <c r="T501" s="256">
        <f t="shared" si="276"/>
        <v>1076.806313</v>
      </c>
      <c r="U501" s="256">
        <f t="shared" si="276"/>
        <v>1079.806313</v>
      </c>
      <c r="V501" s="256">
        <f t="shared" si="276"/>
        <v>1082.806313</v>
      </c>
      <c r="W501" s="256">
        <f t="shared" si="276"/>
        <v>1085.806313</v>
      </c>
      <c r="X501" s="256">
        <f t="shared" si="276"/>
        <v>1088.806313</v>
      </c>
      <c r="Y501" s="256">
        <f t="shared" si="276"/>
        <v>1091.806313</v>
      </c>
      <c r="Z501" s="256">
        <f t="shared" si="276"/>
        <v>1094.806313</v>
      </c>
      <c r="AA501" s="256">
        <f t="shared" si="276"/>
        <v>1097.806313</v>
      </c>
      <c r="AB501" s="256">
        <f t="shared" si="276"/>
        <v>1100.806313</v>
      </c>
      <c r="AC501" s="256">
        <f t="shared" si="276"/>
        <v>1103.806313</v>
      </c>
      <c r="AD501" s="256">
        <f t="shared" si="276"/>
        <v>1106.806313</v>
      </c>
      <c r="AE501" s="256">
        <f t="shared" si="276"/>
        <v>1109.806313</v>
      </c>
      <c r="AF501" s="256">
        <f t="shared" si="276"/>
        <v>1112.806313</v>
      </c>
      <c r="AG501" s="256">
        <f t="shared" si="276"/>
        <v>1115.806313</v>
      </c>
      <c r="AH501" s="256">
        <f t="shared" si="276"/>
        <v>1118.806313</v>
      </c>
      <c r="AI501" s="256">
        <f t="shared" si="276"/>
        <v>1121.806313</v>
      </c>
      <c r="AJ501" s="256">
        <f t="shared" si="276"/>
        <v>1124.806313</v>
      </c>
      <c r="AK501" s="256">
        <f t="shared" si="276"/>
        <v>1127.806313</v>
      </c>
      <c r="AL501" s="256">
        <f t="shared" si="276"/>
        <v>1130.806313</v>
      </c>
    </row>
    <row r="502" spans="1:38" s="237" customFormat="1" outlineLevel="1" x14ac:dyDescent="0.2">
      <c r="A502" s="218"/>
      <c r="B502" s="417" t="s">
        <v>160</v>
      </c>
      <c r="C502" s="247"/>
      <c r="D502" s="273"/>
      <c r="E502" s="305"/>
      <c r="F502" s="305"/>
      <c r="G502" s="305">
        <f t="shared" ref="G502:AL502" si="278">SUM(G496:G499)-G500</f>
        <v>-0.24128700000005665</v>
      </c>
      <c r="H502" s="305">
        <f t="shared" si="278"/>
        <v>-4.2804000000160158E-2</v>
      </c>
      <c r="I502" s="305">
        <f t="shared" si="278"/>
        <v>-2.0031850000000304</v>
      </c>
      <c r="J502" s="305">
        <f t="shared" ref="J502" si="279">SUM(J496:J499)-J500</f>
        <v>3.5783819999999196</v>
      </c>
      <c r="K502" s="305">
        <f t="shared" si="278"/>
        <v>0</v>
      </c>
      <c r="L502" s="305">
        <f t="shared" si="278"/>
        <v>0</v>
      </c>
      <c r="M502" s="305">
        <f t="shared" si="278"/>
        <v>0</v>
      </c>
      <c r="N502" s="305">
        <f t="shared" si="278"/>
        <v>0</v>
      </c>
      <c r="O502" s="305">
        <f t="shared" si="278"/>
        <v>0</v>
      </c>
      <c r="P502" s="305">
        <f t="shared" si="278"/>
        <v>0</v>
      </c>
      <c r="Q502" s="305">
        <f t="shared" si="278"/>
        <v>0</v>
      </c>
      <c r="R502" s="305">
        <f t="shared" si="278"/>
        <v>0</v>
      </c>
      <c r="S502" s="305">
        <f t="shared" si="278"/>
        <v>0</v>
      </c>
      <c r="T502" s="305">
        <f t="shared" si="278"/>
        <v>0</v>
      </c>
      <c r="U502" s="305">
        <f t="shared" si="278"/>
        <v>0</v>
      </c>
      <c r="V502" s="305">
        <f t="shared" si="278"/>
        <v>0</v>
      </c>
      <c r="W502" s="305">
        <f t="shared" si="278"/>
        <v>0</v>
      </c>
      <c r="X502" s="305">
        <f t="shared" si="278"/>
        <v>0</v>
      </c>
      <c r="Y502" s="305">
        <f t="shared" si="278"/>
        <v>0</v>
      </c>
      <c r="Z502" s="305">
        <f t="shared" si="278"/>
        <v>0</v>
      </c>
      <c r="AA502" s="305">
        <f t="shared" si="278"/>
        <v>0</v>
      </c>
      <c r="AB502" s="305">
        <f t="shared" si="278"/>
        <v>0</v>
      </c>
      <c r="AC502" s="305">
        <f t="shared" si="278"/>
        <v>0</v>
      </c>
      <c r="AD502" s="305">
        <f t="shared" si="278"/>
        <v>0</v>
      </c>
      <c r="AE502" s="305">
        <f t="shared" si="278"/>
        <v>0</v>
      </c>
      <c r="AF502" s="305">
        <f t="shared" si="278"/>
        <v>0</v>
      </c>
      <c r="AG502" s="305">
        <f t="shared" si="278"/>
        <v>0</v>
      </c>
      <c r="AH502" s="305">
        <f t="shared" si="278"/>
        <v>0</v>
      </c>
      <c r="AI502" s="305">
        <f t="shared" si="278"/>
        <v>0</v>
      </c>
      <c r="AJ502" s="305">
        <f t="shared" si="278"/>
        <v>0</v>
      </c>
      <c r="AK502" s="305">
        <f t="shared" si="278"/>
        <v>0</v>
      </c>
      <c r="AL502" s="305">
        <f t="shared" si="278"/>
        <v>0</v>
      </c>
    </row>
    <row r="503" spans="1:38" s="237" customFormat="1" outlineLevel="1" x14ac:dyDescent="0.2">
      <c r="A503" s="218"/>
      <c r="B503" s="417"/>
      <c r="C503" s="247"/>
      <c r="D503" s="273"/>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c r="AA503" s="305"/>
      <c r="AB503" s="305"/>
      <c r="AC503" s="305"/>
      <c r="AD503" s="305"/>
      <c r="AE503" s="305"/>
      <c r="AF503" s="305"/>
      <c r="AG503" s="305"/>
      <c r="AH503" s="305"/>
      <c r="AI503" s="305"/>
      <c r="AJ503" s="305"/>
      <c r="AK503" s="305"/>
      <c r="AL503" s="305"/>
    </row>
    <row r="504" spans="1:38" outlineLevel="1" x14ac:dyDescent="0.2">
      <c r="B504" s="295" t="s">
        <v>298</v>
      </c>
      <c r="C504" s="205" t="s">
        <v>280</v>
      </c>
      <c r="D504" s="280"/>
      <c r="E504" s="256"/>
      <c r="F504" s="256"/>
      <c r="G504" s="280">
        <v>0</v>
      </c>
      <c r="H504" s="280">
        <v>0</v>
      </c>
      <c r="I504" s="280">
        <v>0</v>
      </c>
      <c r="J504" s="280">
        <v>0</v>
      </c>
      <c r="K504" s="250">
        <v>0</v>
      </c>
      <c r="L504" s="250">
        <v>0</v>
      </c>
      <c r="M504" s="250">
        <v>0</v>
      </c>
      <c r="N504" s="250">
        <v>0</v>
      </c>
      <c r="O504" s="250">
        <v>0</v>
      </c>
      <c r="P504" s="250">
        <v>0</v>
      </c>
      <c r="Q504" s="250">
        <v>0</v>
      </c>
      <c r="R504" s="250">
        <v>0</v>
      </c>
      <c r="S504" s="250">
        <v>0</v>
      </c>
      <c r="T504" s="250">
        <v>0</v>
      </c>
      <c r="U504" s="250">
        <v>0</v>
      </c>
      <c r="V504" s="250">
        <v>0</v>
      </c>
      <c r="W504" s="250">
        <v>0</v>
      </c>
      <c r="X504" s="250">
        <v>0</v>
      </c>
      <c r="Y504" s="250">
        <v>0</v>
      </c>
      <c r="Z504" s="250">
        <v>0</v>
      </c>
      <c r="AA504" s="250">
        <v>0</v>
      </c>
      <c r="AB504" s="250">
        <v>0</v>
      </c>
      <c r="AC504" s="250">
        <v>0</v>
      </c>
      <c r="AD504" s="250">
        <v>0</v>
      </c>
      <c r="AE504" s="250">
        <v>0</v>
      </c>
      <c r="AF504" s="250">
        <v>0</v>
      </c>
      <c r="AG504" s="250">
        <v>0</v>
      </c>
      <c r="AH504" s="250">
        <v>0</v>
      </c>
      <c r="AI504" s="250">
        <v>0</v>
      </c>
      <c r="AJ504" s="250">
        <v>0</v>
      </c>
      <c r="AK504" s="250">
        <v>0</v>
      </c>
      <c r="AL504" s="250">
        <v>0</v>
      </c>
    </row>
    <row r="505" spans="1:38" s="237" customFormat="1" outlineLevel="1" x14ac:dyDescent="0.2">
      <c r="B505" s="290" t="s">
        <v>299</v>
      </c>
      <c r="C505" s="247" t="s">
        <v>280</v>
      </c>
      <c r="D505" s="273"/>
      <c r="E505" s="229"/>
      <c r="F505" s="229"/>
      <c r="G505" s="229">
        <f t="shared" ref="G505:AL505" si="280">G500+G504</f>
        <v>566.18661899999995</v>
      </c>
      <c r="H505" s="229">
        <f t="shared" si="280"/>
        <v>1025.5177160000001</v>
      </c>
      <c r="I505" s="229">
        <f t="shared" si="280"/>
        <v>1042.6569830000001</v>
      </c>
      <c r="J505" s="229">
        <f t="shared" ref="J505" si="281">J500+J504</f>
        <v>1046.306313</v>
      </c>
      <c r="K505" s="229">
        <f t="shared" si="280"/>
        <v>1051.306313</v>
      </c>
      <c r="L505" s="229">
        <f t="shared" si="280"/>
        <v>1054.306313</v>
      </c>
      <c r="M505" s="229">
        <f t="shared" si="280"/>
        <v>1057.306313</v>
      </c>
      <c r="N505" s="229">
        <f t="shared" si="280"/>
        <v>1060.306313</v>
      </c>
      <c r="O505" s="229">
        <f t="shared" si="280"/>
        <v>1063.306313</v>
      </c>
      <c r="P505" s="229">
        <f t="shared" si="280"/>
        <v>1066.306313</v>
      </c>
      <c r="Q505" s="229">
        <f t="shared" si="280"/>
        <v>1069.306313</v>
      </c>
      <c r="R505" s="229">
        <f t="shared" si="280"/>
        <v>1072.306313</v>
      </c>
      <c r="S505" s="229">
        <f t="shared" si="280"/>
        <v>1075.306313</v>
      </c>
      <c r="T505" s="229">
        <f t="shared" si="280"/>
        <v>1078.306313</v>
      </c>
      <c r="U505" s="229">
        <f t="shared" si="280"/>
        <v>1081.306313</v>
      </c>
      <c r="V505" s="229">
        <f t="shared" si="280"/>
        <v>1084.306313</v>
      </c>
      <c r="W505" s="229">
        <f t="shared" si="280"/>
        <v>1087.306313</v>
      </c>
      <c r="X505" s="229">
        <f t="shared" si="280"/>
        <v>1090.306313</v>
      </c>
      <c r="Y505" s="229">
        <f t="shared" si="280"/>
        <v>1093.306313</v>
      </c>
      <c r="Z505" s="229">
        <f t="shared" si="280"/>
        <v>1096.306313</v>
      </c>
      <c r="AA505" s="229">
        <f t="shared" si="280"/>
        <v>1099.306313</v>
      </c>
      <c r="AB505" s="229">
        <f t="shared" si="280"/>
        <v>1102.306313</v>
      </c>
      <c r="AC505" s="229">
        <f t="shared" si="280"/>
        <v>1105.306313</v>
      </c>
      <c r="AD505" s="229">
        <f t="shared" si="280"/>
        <v>1108.306313</v>
      </c>
      <c r="AE505" s="229">
        <f t="shared" si="280"/>
        <v>1111.306313</v>
      </c>
      <c r="AF505" s="229">
        <f t="shared" si="280"/>
        <v>1114.306313</v>
      </c>
      <c r="AG505" s="229">
        <f t="shared" si="280"/>
        <v>1117.306313</v>
      </c>
      <c r="AH505" s="229">
        <f t="shared" si="280"/>
        <v>1120.306313</v>
      </c>
      <c r="AI505" s="229">
        <f t="shared" si="280"/>
        <v>1123.306313</v>
      </c>
      <c r="AJ505" s="229">
        <f t="shared" si="280"/>
        <v>1126.306313</v>
      </c>
      <c r="AK505" s="229">
        <f t="shared" si="280"/>
        <v>1129.306313</v>
      </c>
      <c r="AL505" s="229">
        <f t="shared" si="280"/>
        <v>1132.306313</v>
      </c>
    </row>
    <row r="506" spans="1:38" outlineLevel="1" x14ac:dyDescent="0.2">
      <c r="D506" s="294"/>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56"/>
      <c r="AA506" s="256"/>
      <c r="AB506" s="256"/>
      <c r="AC506" s="256"/>
      <c r="AD506" s="256"/>
      <c r="AE506" s="256"/>
      <c r="AF506" s="256"/>
      <c r="AG506" s="256"/>
      <c r="AH506" s="256"/>
      <c r="AI506" s="256"/>
      <c r="AJ506" s="256"/>
      <c r="AK506" s="256"/>
      <c r="AL506" s="256"/>
    </row>
    <row r="507" spans="1:38" s="237" customFormat="1" outlineLevel="1" x14ac:dyDescent="0.2">
      <c r="A507" s="218"/>
      <c r="B507" s="290" t="s">
        <v>300</v>
      </c>
      <c r="C507" s="247" t="s">
        <v>280</v>
      </c>
      <c r="D507" s="273"/>
      <c r="E507" s="257"/>
      <c r="F507" s="257"/>
      <c r="G507" s="257">
        <v>564.446506</v>
      </c>
      <c r="H507" s="257">
        <v>641.91700300000002</v>
      </c>
      <c r="I507" s="257">
        <v>1051.5645259999999</v>
      </c>
      <c r="J507" s="257">
        <v>1046.819399</v>
      </c>
      <c r="K507" s="232">
        <f t="shared" ref="K507:AL507" si="282">K500</f>
        <v>1051.306313</v>
      </c>
      <c r="L507" s="232">
        <f t="shared" si="282"/>
        <v>1054.306313</v>
      </c>
      <c r="M507" s="232">
        <f t="shared" si="282"/>
        <v>1057.306313</v>
      </c>
      <c r="N507" s="232">
        <f t="shared" si="282"/>
        <v>1060.306313</v>
      </c>
      <c r="O507" s="232">
        <f t="shared" si="282"/>
        <v>1063.306313</v>
      </c>
      <c r="P507" s="232">
        <f t="shared" si="282"/>
        <v>1066.306313</v>
      </c>
      <c r="Q507" s="232">
        <f t="shared" si="282"/>
        <v>1069.306313</v>
      </c>
      <c r="R507" s="232">
        <f t="shared" si="282"/>
        <v>1072.306313</v>
      </c>
      <c r="S507" s="232">
        <f t="shared" si="282"/>
        <v>1075.306313</v>
      </c>
      <c r="T507" s="232">
        <f t="shared" si="282"/>
        <v>1078.306313</v>
      </c>
      <c r="U507" s="232">
        <f t="shared" si="282"/>
        <v>1081.306313</v>
      </c>
      <c r="V507" s="232">
        <f t="shared" si="282"/>
        <v>1084.306313</v>
      </c>
      <c r="W507" s="232">
        <f t="shared" si="282"/>
        <v>1087.306313</v>
      </c>
      <c r="X507" s="232">
        <f t="shared" si="282"/>
        <v>1090.306313</v>
      </c>
      <c r="Y507" s="232">
        <f t="shared" si="282"/>
        <v>1093.306313</v>
      </c>
      <c r="Z507" s="232">
        <f t="shared" si="282"/>
        <v>1096.306313</v>
      </c>
      <c r="AA507" s="232">
        <f t="shared" si="282"/>
        <v>1099.306313</v>
      </c>
      <c r="AB507" s="232">
        <f t="shared" si="282"/>
        <v>1102.306313</v>
      </c>
      <c r="AC507" s="232">
        <f t="shared" si="282"/>
        <v>1105.306313</v>
      </c>
      <c r="AD507" s="232">
        <f t="shared" si="282"/>
        <v>1108.306313</v>
      </c>
      <c r="AE507" s="232">
        <f t="shared" si="282"/>
        <v>1111.306313</v>
      </c>
      <c r="AF507" s="232">
        <f t="shared" si="282"/>
        <v>1114.306313</v>
      </c>
      <c r="AG507" s="232">
        <f t="shared" si="282"/>
        <v>1117.306313</v>
      </c>
      <c r="AH507" s="232">
        <f t="shared" si="282"/>
        <v>1120.306313</v>
      </c>
      <c r="AI507" s="232">
        <f t="shared" si="282"/>
        <v>1123.306313</v>
      </c>
      <c r="AJ507" s="232">
        <f t="shared" si="282"/>
        <v>1126.306313</v>
      </c>
      <c r="AK507" s="232">
        <f t="shared" si="282"/>
        <v>1129.306313</v>
      </c>
      <c r="AL507" s="232">
        <f t="shared" si="282"/>
        <v>1132.306313</v>
      </c>
    </row>
    <row r="508" spans="1:38" outlineLevel="1" x14ac:dyDescent="0.2">
      <c r="D508" s="294"/>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56"/>
      <c r="AA508" s="256"/>
      <c r="AB508" s="256"/>
      <c r="AC508" s="256"/>
      <c r="AD508" s="256"/>
      <c r="AE508" s="256"/>
      <c r="AF508" s="256"/>
      <c r="AG508" s="256"/>
      <c r="AH508" s="256"/>
      <c r="AI508" s="256"/>
      <c r="AJ508" s="256"/>
      <c r="AK508" s="256"/>
      <c r="AL508" s="256"/>
    </row>
    <row r="509" spans="1:38" x14ac:dyDescent="0.2">
      <c r="B509" s="295"/>
      <c r="D509" s="294"/>
      <c r="E509" s="232"/>
      <c r="F509" s="232"/>
      <c r="G509" s="232"/>
      <c r="H509" s="232"/>
      <c r="I509" s="232"/>
      <c r="J509" s="264"/>
      <c r="K509" s="264"/>
      <c r="L509" s="264"/>
      <c r="M509" s="264"/>
      <c r="N509" s="264"/>
      <c r="O509" s="264"/>
      <c r="P509" s="264"/>
      <c r="Q509" s="264"/>
      <c r="R509" s="264"/>
      <c r="S509" s="264"/>
      <c r="T509" s="264"/>
      <c r="U509" s="264"/>
      <c r="V509" s="264"/>
      <c r="W509" s="264"/>
      <c r="X509" s="264"/>
      <c r="Y509" s="264"/>
      <c r="Z509" s="264"/>
      <c r="AA509" s="264"/>
      <c r="AB509" s="264"/>
      <c r="AC509" s="264"/>
      <c r="AD509" s="264"/>
      <c r="AE509" s="264"/>
      <c r="AF509" s="264"/>
      <c r="AG509" s="264"/>
      <c r="AH509" s="264"/>
      <c r="AI509" s="264"/>
      <c r="AJ509" s="264"/>
      <c r="AK509" s="264"/>
      <c r="AL509" s="264"/>
    </row>
    <row r="510" spans="1:38" s="242" customFormat="1" x14ac:dyDescent="0.2">
      <c r="A510" s="242" t="s">
        <v>7</v>
      </c>
      <c r="B510" s="243" t="s">
        <v>301</v>
      </c>
      <c r="C510" s="244"/>
      <c r="E510" s="245"/>
      <c r="F510" s="245"/>
      <c r="G510" s="245"/>
      <c r="H510" s="245"/>
      <c r="I510" s="245"/>
      <c r="J510" s="245"/>
      <c r="K510" s="245"/>
      <c r="L510" s="245"/>
      <c r="M510" s="245"/>
      <c r="N510" s="245"/>
      <c r="O510" s="245"/>
      <c r="P510" s="245"/>
      <c r="Q510" s="245"/>
      <c r="R510" s="245"/>
      <c r="S510" s="245"/>
      <c r="T510" s="245"/>
      <c r="U510" s="245"/>
      <c r="V510" s="245"/>
      <c r="W510" s="245"/>
      <c r="X510" s="245"/>
      <c r="Y510" s="245"/>
      <c r="Z510" s="245"/>
      <c r="AA510" s="245"/>
      <c r="AB510" s="245"/>
      <c r="AC510" s="245"/>
      <c r="AD510" s="245"/>
      <c r="AE510" s="245"/>
      <c r="AF510" s="245"/>
      <c r="AG510" s="245"/>
      <c r="AH510" s="245"/>
      <c r="AI510" s="245"/>
      <c r="AJ510" s="245"/>
      <c r="AK510" s="245"/>
      <c r="AL510" s="245"/>
    </row>
    <row r="511" spans="1:38" outlineLevel="1" x14ac:dyDescent="0.2"/>
    <row r="512" spans="1:38" outlineLevel="1" x14ac:dyDescent="0.2">
      <c r="B512" s="219" t="s">
        <v>302</v>
      </c>
      <c r="C512" s="205" t="s">
        <v>303</v>
      </c>
      <c r="D512" s="210">
        <f>_xlfn.XLOOKUP("A",$16:$16,$8:$8,,,-1)</f>
        <v>46203</v>
      </c>
      <c r="E512" s="249"/>
      <c r="F512" s="249"/>
      <c r="G512" s="249"/>
      <c r="H512" s="249"/>
      <c r="I512" s="249"/>
      <c r="J512" s="249"/>
      <c r="K512" s="249"/>
      <c r="L512" s="249"/>
    </row>
    <row r="513" spans="2:12" outlineLevel="1" x14ac:dyDescent="0.2">
      <c r="B513" s="219" t="s">
        <v>304</v>
      </c>
      <c r="C513" s="205" t="s">
        <v>303</v>
      </c>
      <c r="D513" s="210">
        <f ca="1">TODAY()</f>
        <v>46308</v>
      </c>
      <c r="E513" s="249"/>
      <c r="F513" s="249"/>
      <c r="G513" s="249"/>
      <c r="H513" s="249"/>
      <c r="I513" s="249"/>
      <c r="J513" s="249"/>
      <c r="K513" s="249"/>
      <c r="L513" s="249"/>
    </row>
    <row r="514" spans="2:12" outlineLevel="1" x14ac:dyDescent="0.2">
      <c r="B514" s="219" t="s">
        <v>305</v>
      </c>
      <c r="C514" s="205" t="s">
        <v>303</v>
      </c>
      <c r="D514" s="210">
        <f ca="1">EOMONTH(_xlfn.XLOOKUP(D513,$8:$8,$8:$8,,-1),12)</f>
        <v>46568</v>
      </c>
      <c r="E514" s="249"/>
      <c r="F514" s="249"/>
      <c r="G514" s="249"/>
      <c r="H514" s="249"/>
      <c r="I514" s="249"/>
      <c r="J514" s="249"/>
      <c r="K514" s="249"/>
      <c r="L514" s="249"/>
    </row>
    <row r="515" spans="2:12" outlineLevel="1" x14ac:dyDescent="0.2"/>
    <row r="516" spans="2:12" outlineLevel="1" x14ac:dyDescent="0.2">
      <c r="B516" s="246" t="s">
        <v>306</v>
      </c>
    </row>
    <row r="517" spans="2:12" outlineLevel="1" x14ac:dyDescent="0.2">
      <c r="B517" s="293" t="s">
        <v>307</v>
      </c>
    </row>
    <row r="518" spans="2:12" outlineLevel="1" x14ac:dyDescent="0.2">
      <c r="B518" s="263" t="s">
        <v>308</v>
      </c>
      <c r="C518" s="205" t="s">
        <v>39</v>
      </c>
      <c r="D518" s="307">
        <v>7.4999999999999997E-2</v>
      </c>
    </row>
    <row r="519" spans="2:12" outlineLevel="1" x14ac:dyDescent="0.2">
      <c r="B519" s="263" t="s">
        <v>137</v>
      </c>
      <c r="C519" s="205" t="s">
        <v>39</v>
      </c>
      <c r="D519" s="307">
        <v>0.3</v>
      </c>
    </row>
    <row r="520" spans="2:12" outlineLevel="1" x14ac:dyDescent="0.2">
      <c r="B520" s="272" t="s">
        <v>309</v>
      </c>
      <c r="C520" s="205" t="s">
        <v>39</v>
      </c>
      <c r="D520" s="308">
        <f>D518 * (1 - D519)</f>
        <v>5.2499999999999998E-2</v>
      </c>
    </row>
    <row r="521" spans="2:12" outlineLevel="1" x14ac:dyDescent="0.2">
      <c r="B521" s="234"/>
      <c r="D521" s="205"/>
    </row>
    <row r="522" spans="2:12" outlineLevel="1" x14ac:dyDescent="0.2">
      <c r="B522" s="293" t="s">
        <v>310</v>
      </c>
      <c r="D522" s="205"/>
    </row>
    <row r="523" spans="2:12" outlineLevel="1" x14ac:dyDescent="0.2">
      <c r="B523" s="263" t="s">
        <v>311</v>
      </c>
      <c r="C523" s="205" t="s">
        <v>39</v>
      </c>
      <c r="D523" s="307">
        <v>0.04</v>
      </c>
    </row>
    <row r="524" spans="2:12" outlineLevel="1" x14ac:dyDescent="0.2">
      <c r="B524" s="263" t="s">
        <v>312</v>
      </c>
      <c r="C524" s="205" t="s">
        <v>39</v>
      </c>
      <c r="D524" s="309">
        <v>1.25</v>
      </c>
    </row>
    <row r="525" spans="2:12" outlineLevel="1" x14ac:dyDescent="0.2">
      <c r="B525" s="263" t="s">
        <v>313</v>
      </c>
      <c r="C525" s="205" t="s">
        <v>39</v>
      </c>
      <c r="D525" s="307">
        <v>0.06</v>
      </c>
    </row>
    <row r="526" spans="2:12" outlineLevel="1" x14ac:dyDescent="0.2">
      <c r="B526" s="272" t="s">
        <v>310</v>
      </c>
      <c r="C526" s="205" t="s">
        <v>39</v>
      </c>
      <c r="D526" s="308">
        <f>D523+(D524*D525)</f>
        <v>0.11499999999999999</v>
      </c>
    </row>
    <row r="527" spans="2:12" outlineLevel="1" x14ac:dyDescent="0.2">
      <c r="B527" s="234"/>
      <c r="D527" s="205"/>
    </row>
    <row r="528" spans="2:12" outlineLevel="1" x14ac:dyDescent="0.2">
      <c r="B528" s="293" t="s">
        <v>314</v>
      </c>
      <c r="D528" s="205"/>
    </row>
    <row r="529" spans="2:38" outlineLevel="1" x14ac:dyDescent="0.2">
      <c r="B529" s="263" t="s">
        <v>315</v>
      </c>
      <c r="C529" s="205" t="s">
        <v>39</v>
      </c>
      <c r="D529" s="310">
        <v>0.3</v>
      </c>
    </row>
    <row r="530" spans="2:38" outlineLevel="1" x14ac:dyDescent="0.2">
      <c r="B530" s="263" t="s">
        <v>316</v>
      </c>
      <c r="D530" s="311">
        <f>1-D529</f>
        <v>0.7</v>
      </c>
    </row>
    <row r="531" spans="2:38" outlineLevel="1" x14ac:dyDescent="0.2">
      <c r="B531" s="272" t="s">
        <v>317</v>
      </c>
      <c r="C531" s="205" t="s">
        <v>39</v>
      </c>
      <c r="D531" s="311">
        <f>D520*D529+D526*D530</f>
        <v>9.6249999999999988E-2</v>
      </c>
    </row>
    <row r="532" spans="2:38" outlineLevel="1" x14ac:dyDescent="0.2">
      <c r="B532" s="263" t="s">
        <v>318</v>
      </c>
      <c r="C532" s="205" t="s">
        <v>39</v>
      </c>
      <c r="D532" s="307">
        <v>0.03</v>
      </c>
    </row>
    <row r="533" spans="2:38" outlineLevel="1" x14ac:dyDescent="0.2">
      <c r="B533" s="246"/>
      <c r="D533" s="205"/>
    </row>
    <row r="534" spans="2:38" outlineLevel="1" x14ac:dyDescent="0.2">
      <c r="B534" s="246" t="s">
        <v>319</v>
      </c>
      <c r="D534" s="205"/>
    </row>
    <row r="535" spans="2:38" outlineLevel="1" x14ac:dyDescent="0.2">
      <c r="B535" s="239" t="s">
        <v>320</v>
      </c>
      <c r="D535" s="205"/>
    </row>
    <row r="536" spans="2:38" outlineLevel="1" x14ac:dyDescent="0.2">
      <c r="B536" s="234" t="s">
        <v>321</v>
      </c>
      <c r="C536" s="205" t="s">
        <v>303</v>
      </c>
      <c r="D536" s="420">
        <v>49125</v>
      </c>
    </row>
    <row r="537" spans="2:38" outlineLevel="1" x14ac:dyDescent="0.2">
      <c r="B537" s="246"/>
      <c r="D537" s="205"/>
    </row>
    <row r="538" spans="2:38" outlineLevel="1" x14ac:dyDescent="0.2">
      <c r="B538" s="239" t="s">
        <v>322</v>
      </c>
      <c r="D538" s="205"/>
    </row>
    <row r="539" spans="2:38" outlineLevel="1" x14ac:dyDescent="0.2">
      <c r="B539" s="234" t="s">
        <v>323</v>
      </c>
      <c r="C539" s="205" t="s">
        <v>324</v>
      </c>
      <c r="D539" s="205"/>
      <c r="E539" s="249">
        <f t="shared" ref="E539:AL539" ca="1" si="283">MAX((E8-$D$514)/365,0)</f>
        <v>0</v>
      </c>
      <c r="F539" s="249">
        <f t="shared" ca="1" si="283"/>
        <v>0</v>
      </c>
      <c r="G539" s="249">
        <f t="shared" ca="1" si="283"/>
        <v>0</v>
      </c>
      <c r="H539" s="249">
        <f t="shared" ca="1" si="283"/>
        <v>0</v>
      </c>
      <c r="I539" s="249">
        <f t="shared" ca="1" si="283"/>
        <v>0</v>
      </c>
      <c r="J539" s="249">
        <f t="shared" ca="1" si="283"/>
        <v>0</v>
      </c>
      <c r="K539" s="249">
        <f t="shared" ca="1" si="283"/>
        <v>0</v>
      </c>
      <c r="L539" s="249">
        <f t="shared" ca="1" si="283"/>
        <v>0</v>
      </c>
      <c r="M539" s="249">
        <f t="shared" ca="1" si="283"/>
        <v>0.50410958904109593</v>
      </c>
      <c r="N539" s="249">
        <f t="shared" ca="1" si="283"/>
        <v>1.0027397260273974</v>
      </c>
      <c r="O539" s="249">
        <f t="shared" ca="1" si="283"/>
        <v>1.5068493150684932</v>
      </c>
      <c r="P539" s="249">
        <f t="shared" ca="1" si="283"/>
        <v>2.0027397260273974</v>
      </c>
      <c r="Q539" s="249">
        <f t="shared" ca="1" si="283"/>
        <v>2.506849315068493</v>
      </c>
      <c r="R539" s="249">
        <f t="shared" ca="1" si="283"/>
        <v>3.0027397260273974</v>
      </c>
      <c r="S539" s="249">
        <f t="shared" ca="1" si="283"/>
        <v>3.506849315068493</v>
      </c>
      <c r="T539" s="249">
        <f t="shared" ca="1" si="283"/>
        <v>4.0027397260273974</v>
      </c>
      <c r="U539" s="249">
        <f t="shared" ca="1" si="283"/>
        <v>4.506849315068493</v>
      </c>
      <c r="V539" s="249">
        <f t="shared" ca="1" si="283"/>
        <v>5.0054794520547947</v>
      </c>
      <c r="W539" s="249">
        <f t="shared" ca="1" si="283"/>
        <v>5.5095890410958903</v>
      </c>
      <c r="X539" s="249">
        <f t="shared" ca="1" si="283"/>
        <v>6.0054794520547947</v>
      </c>
      <c r="Y539" s="249">
        <f t="shared" ca="1" si="283"/>
        <v>6.5095890410958903</v>
      </c>
      <c r="Z539" s="249">
        <f t="shared" ca="1" si="283"/>
        <v>7.0054794520547947</v>
      </c>
      <c r="AA539" s="249">
        <f t="shared" ca="1" si="283"/>
        <v>7.5095890410958903</v>
      </c>
      <c r="AB539" s="249">
        <f t="shared" ca="1" si="283"/>
        <v>8.0054794520547947</v>
      </c>
      <c r="AC539" s="249">
        <f t="shared" ca="1" si="283"/>
        <v>8.5095890410958912</v>
      </c>
      <c r="AD539" s="249">
        <f t="shared" ca="1" si="283"/>
        <v>9.0082191780821912</v>
      </c>
      <c r="AE539" s="249">
        <f t="shared" ca="1" si="283"/>
        <v>9.5123287671232877</v>
      </c>
      <c r="AF539" s="249">
        <f t="shared" ca="1" si="283"/>
        <v>10.008219178082191</v>
      </c>
      <c r="AG539" s="249">
        <f t="shared" ca="1" si="283"/>
        <v>10.512328767123288</v>
      </c>
      <c r="AH539" s="249">
        <f t="shared" ca="1" si="283"/>
        <v>11.008219178082191</v>
      </c>
      <c r="AI539" s="249">
        <f t="shared" ca="1" si="283"/>
        <v>11.512328767123288</v>
      </c>
      <c r="AJ539" s="249">
        <f t="shared" ca="1" si="283"/>
        <v>12.008219178082191</v>
      </c>
      <c r="AK539" s="249">
        <f t="shared" ca="1" si="283"/>
        <v>12.512328767123288</v>
      </c>
      <c r="AL539" s="249">
        <f t="shared" ca="1" si="283"/>
        <v>13.010958904109589</v>
      </c>
    </row>
    <row r="540" spans="2:38" outlineLevel="1" x14ac:dyDescent="0.2">
      <c r="B540" s="234" t="s">
        <v>325</v>
      </c>
      <c r="C540" s="205" t="s">
        <v>326</v>
      </c>
      <c r="D540" s="205"/>
      <c r="E540" s="303">
        <f t="shared" ref="E540:AL540" ca="1" si="284">IF(E539=0,0,(1/(1+$D$531))^E539)</f>
        <v>0</v>
      </c>
      <c r="F540" s="303">
        <f t="shared" ca="1" si="284"/>
        <v>0</v>
      </c>
      <c r="G540" s="303">
        <f t="shared" ca="1" si="284"/>
        <v>0</v>
      </c>
      <c r="H540" s="303">
        <f t="shared" ca="1" si="284"/>
        <v>0</v>
      </c>
      <c r="I540" s="303">
        <f t="shared" ca="1" si="284"/>
        <v>0</v>
      </c>
      <c r="J540" s="303">
        <f t="shared" ca="1" si="284"/>
        <v>0</v>
      </c>
      <c r="K540" s="303">
        <f t="shared" ca="1" si="284"/>
        <v>0</v>
      </c>
      <c r="L540" s="303">
        <f t="shared" ca="1" si="284"/>
        <v>0</v>
      </c>
      <c r="M540" s="303">
        <f t="shared" ca="1" si="284"/>
        <v>0.95473135272271814</v>
      </c>
      <c r="N540" s="303">
        <f t="shared" ca="1" si="284"/>
        <v>0.9119710502552888</v>
      </c>
      <c r="O540" s="303">
        <f t="shared" ca="1" si="284"/>
        <v>0.87068735445418988</v>
      </c>
      <c r="P540" s="303">
        <f t="shared" ca="1" si="284"/>
        <v>0.83190061596833642</v>
      </c>
      <c r="Q540" s="303">
        <f t="shared" ca="1" si="284"/>
        <v>0.79424160041431235</v>
      </c>
      <c r="R540" s="303">
        <f t="shared" ca="1" si="284"/>
        <v>0.75886031103154983</v>
      </c>
      <c r="S540" s="303">
        <f t="shared" ca="1" si="284"/>
        <v>0.72450773127873425</v>
      </c>
      <c r="T540" s="303">
        <f t="shared" ca="1" si="284"/>
        <v>0.69223289489765094</v>
      </c>
      <c r="U540" s="303">
        <f t="shared" ca="1" si="284"/>
        <v>0.66089644814479753</v>
      </c>
      <c r="V540" s="303">
        <f t="shared" ca="1" si="284"/>
        <v>0.6312963601810696</v>
      </c>
      <c r="W540" s="303">
        <f t="shared" ca="1" si="284"/>
        <v>0.60271842792460095</v>
      </c>
      <c r="X540" s="303">
        <f t="shared" ca="1" si="284"/>
        <v>0.5758689716589005</v>
      </c>
      <c r="Y540" s="303">
        <f t="shared" ca="1" si="284"/>
        <v>0.54980016230294282</v>
      </c>
      <c r="Z540" s="303">
        <f t="shared" ca="1" si="284"/>
        <v>0.52530806992830148</v>
      </c>
      <c r="AA540" s="303">
        <f t="shared" ca="1" si="284"/>
        <v>0.50152808419880757</v>
      </c>
      <c r="AB540" s="303">
        <f t="shared" ca="1" si="284"/>
        <v>0.47918638077838221</v>
      </c>
      <c r="AC540" s="303">
        <f t="shared" ca="1" si="284"/>
        <v>0.45749426152684836</v>
      </c>
      <c r="AD540" s="303">
        <f t="shared" ca="1" si="284"/>
        <v>0.437004106946492</v>
      </c>
      <c r="AE540" s="303">
        <f t="shared" ca="1" si="284"/>
        <v>0.4172215221704077</v>
      </c>
      <c r="AF540" s="303">
        <f t="shared" ca="1" si="284"/>
        <v>0.39863544533317402</v>
      </c>
      <c r="AG540" s="303">
        <f t="shared" ca="1" si="284"/>
        <v>0.3805897579661644</v>
      </c>
      <c r="AH540" s="303">
        <f t="shared" ca="1" si="284"/>
        <v>0.36363552595956578</v>
      </c>
      <c r="AI540" s="303">
        <f t="shared" ca="1" si="284"/>
        <v>0.34717423759741334</v>
      </c>
      <c r="AJ540" s="303">
        <f t="shared" ca="1" si="284"/>
        <v>0.3317085755617476</v>
      </c>
      <c r="AK540" s="303">
        <f t="shared" ca="1" si="284"/>
        <v>0.31669257705579323</v>
      </c>
      <c r="AL540" s="303">
        <f t="shared" ca="1" si="284"/>
        <v>0.3025086180337328</v>
      </c>
    </row>
    <row r="541" spans="2:38" outlineLevel="1" x14ac:dyDescent="0.2">
      <c r="B541" s="234"/>
      <c r="D541" s="205"/>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c r="AA541" s="303"/>
      <c r="AB541" s="303"/>
      <c r="AC541" s="303"/>
      <c r="AD541" s="303"/>
      <c r="AE541" s="303"/>
      <c r="AF541" s="303"/>
      <c r="AG541" s="303"/>
      <c r="AH541" s="303"/>
      <c r="AI541" s="303"/>
      <c r="AJ541" s="303"/>
      <c r="AK541" s="303"/>
      <c r="AL541" s="303"/>
    </row>
    <row r="542" spans="2:38" outlineLevel="1" x14ac:dyDescent="0.2">
      <c r="B542" s="234" t="s">
        <v>327</v>
      </c>
      <c r="C542" s="205" t="s">
        <v>328</v>
      </c>
      <c r="D542" s="205"/>
      <c r="E542" s="303">
        <f t="shared" ref="E542:AL542" si="285">IF(E$8&lt;=$D$536,1,0)</f>
        <v>1</v>
      </c>
      <c r="F542" s="303">
        <f t="shared" si="285"/>
        <v>1</v>
      </c>
      <c r="G542" s="303">
        <f t="shared" si="285"/>
        <v>1</v>
      </c>
      <c r="H542" s="303">
        <f t="shared" si="285"/>
        <v>1</v>
      </c>
      <c r="I542" s="303">
        <f t="shared" si="285"/>
        <v>1</v>
      </c>
      <c r="J542" s="303">
        <f t="shared" si="285"/>
        <v>1</v>
      </c>
      <c r="K542" s="303">
        <f t="shared" si="285"/>
        <v>1</v>
      </c>
      <c r="L542" s="303">
        <f t="shared" si="285"/>
        <v>1</v>
      </c>
      <c r="M542" s="303">
        <f t="shared" si="285"/>
        <v>1</v>
      </c>
      <c r="N542" s="303">
        <f t="shared" si="285"/>
        <v>1</v>
      </c>
      <c r="O542" s="303">
        <f t="shared" si="285"/>
        <v>1</v>
      </c>
      <c r="P542" s="303">
        <f t="shared" si="285"/>
        <v>1</v>
      </c>
      <c r="Q542" s="303">
        <f t="shared" si="285"/>
        <v>1</v>
      </c>
      <c r="R542" s="303">
        <f t="shared" si="285"/>
        <v>1</v>
      </c>
      <c r="S542" s="303">
        <f t="shared" si="285"/>
        <v>1</v>
      </c>
      <c r="T542" s="303">
        <f t="shared" si="285"/>
        <v>1</v>
      </c>
      <c r="U542" s="303">
        <f t="shared" si="285"/>
        <v>1</v>
      </c>
      <c r="V542" s="303">
        <f t="shared" si="285"/>
        <v>1</v>
      </c>
      <c r="W542" s="303">
        <f t="shared" si="285"/>
        <v>1</v>
      </c>
      <c r="X542" s="303">
        <f t="shared" si="285"/>
        <v>1</v>
      </c>
      <c r="Y542" s="303">
        <f t="shared" si="285"/>
        <v>1</v>
      </c>
      <c r="Z542" s="303">
        <f t="shared" si="285"/>
        <v>1</v>
      </c>
      <c r="AA542" s="303">
        <f t="shared" si="285"/>
        <v>0</v>
      </c>
      <c r="AB542" s="303">
        <f t="shared" si="285"/>
        <v>0</v>
      </c>
      <c r="AC542" s="303">
        <f t="shared" si="285"/>
        <v>0</v>
      </c>
      <c r="AD542" s="303">
        <f t="shared" si="285"/>
        <v>0</v>
      </c>
      <c r="AE542" s="303">
        <f t="shared" si="285"/>
        <v>0</v>
      </c>
      <c r="AF542" s="303">
        <f t="shared" si="285"/>
        <v>0</v>
      </c>
      <c r="AG542" s="303">
        <f t="shared" si="285"/>
        <v>0</v>
      </c>
      <c r="AH542" s="303">
        <f t="shared" si="285"/>
        <v>0</v>
      </c>
      <c r="AI542" s="303">
        <f t="shared" si="285"/>
        <v>0</v>
      </c>
      <c r="AJ542" s="303">
        <f t="shared" si="285"/>
        <v>0</v>
      </c>
      <c r="AK542" s="303">
        <f t="shared" si="285"/>
        <v>0</v>
      </c>
      <c r="AL542" s="303">
        <f t="shared" si="285"/>
        <v>0</v>
      </c>
    </row>
    <row r="543" spans="2:38" outlineLevel="1" x14ac:dyDescent="0.2">
      <c r="B543" s="234" t="s">
        <v>329</v>
      </c>
      <c r="C543" s="205" t="s">
        <v>326</v>
      </c>
      <c r="D543" s="205"/>
      <c r="E543" s="303">
        <f t="shared" ref="E543:AL543" ca="1" si="286">E540*E542</f>
        <v>0</v>
      </c>
      <c r="F543" s="303">
        <f t="shared" ca="1" si="286"/>
        <v>0</v>
      </c>
      <c r="G543" s="303">
        <f t="shared" ca="1" si="286"/>
        <v>0</v>
      </c>
      <c r="H543" s="303">
        <f t="shared" ca="1" si="286"/>
        <v>0</v>
      </c>
      <c r="I543" s="303">
        <f t="shared" ca="1" si="286"/>
        <v>0</v>
      </c>
      <c r="J543" s="303">
        <f t="shared" ca="1" si="286"/>
        <v>0</v>
      </c>
      <c r="K543" s="303">
        <f t="shared" ca="1" si="286"/>
        <v>0</v>
      </c>
      <c r="L543" s="303">
        <f t="shared" ca="1" si="286"/>
        <v>0</v>
      </c>
      <c r="M543" s="303">
        <f t="shared" ca="1" si="286"/>
        <v>0.95473135272271814</v>
      </c>
      <c r="N543" s="303">
        <f t="shared" ca="1" si="286"/>
        <v>0.9119710502552888</v>
      </c>
      <c r="O543" s="303">
        <f t="shared" ca="1" si="286"/>
        <v>0.87068735445418988</v>
      </c>
      <c r="P543" s="303">
        <f t="shared" ca="1" si="286"/>
        <v>0.83190061596833642</v>
      </c>
      <c r="Q543" s="303">
        <f t="shared" ca="1" si="286"/>
        <v>0.79424160041431235</v>
      </c>
      <c r="R543" s="303">
        <f t="shared" ca="1" si="286"/>
        <v>0.75886031103154983</v>
      </c>
      <c r="S543" s="303">
        <f t="shared" ca="1" si="286"/>
        <v>0.72450773127873425</v>
      </c>
      <c r="T543" s="303">
        <f t="shared" ca="1" si="286"/>
        <v>0.69223289489765094</v>
      </c>
      <c r="U543" s="303">
        <f t="shared" ca="1" si="286"/>
        <v>0.66089644814479753</v>
      </c>
      <c r="V543" s="303">
        <f t="shared" ca="1" si="286"/>
        <v>0.6312963601810696</v>
      </c>
      <c r="W543" s="303">
        <f t="shared" ca="1" si="286"/>
        <v>0.60271842792460095</v>
      </c>
      <c r="X543" s="303">
        <f t="shared" ca="1" si="286"/>
        <v>0.5758689716589005</v>
      </c>
      <c r="Y543" s="303">
        <f t="shared" ca="1" si="286"/>
        <v>0.54980016230294282</v>
      </c>
      <c r="Z543" s="303">
        <f t="shared" ca="1" si="286"/>
        <v>0.52530806992830148</v>
      </c>
      <c r="AA543" s="303">
        <f t="shared" ca="1" si="286"/>
        <v>0</v>
      </c>
      <c r="AB543" s="303">
        <f t="shared" ca="1" si="286"/>
        <v>0</v>
      </c>
      <c r="AC543" s="303">
        <f t="shared" ca="1" si="286"/>
        <v>0</v>
      </c>
      <c r="AD543" s="303">
        <f t="shared" ca="1" si="286"/>
        <v>0</v>
      </c>
      <c r="AE543" s="303">
        <f t="shared" ca="1" si="286"/>
        <v>0</v>
      </c>
      <c r="AF543" s="303">
        <f t="shared" ca="1" si="286"/>
        <v>0</v>
      </c>
      <c r="AG543" s="303">
        <f t="shared" ca="1" si="286"/>
        <v>0</v>
      </c>
      <c r="AH543" s="303">
        <f t="shared" ca="1" si="286"/>
        <v>0</v>
      </c>
      <c r="AI543" s="303">
        <f t="shared" ca="1" si="286"/>
        <v>0</v>
      </c>
      <c r="AJ543" s="303">
        <f t="shared" ca="1" si="286"/>
        <v>0</v>
      </c>
      <c r="AK543" s="303">
        <f t="shared" ca="1" si="286"/>
        <v>0</v>
      </c>
      <c r="AL543" s="303">
        <f t="shared" ca="1" si="286"/>
        <v>0</v>
      </c>
    </row>
    <row r="544" spans="2:38" outlineLevel="1" x14ac:dyDescent="0.2">
      <c r="B544" s="234"/>
      <c r="D544" s="205"/>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c r="AA544" s="303"/>
      <c r="AB544" s="303"/>
      <c r="AC544" s="303"/>
      <c r="AD544" s="303"/>
      <c r="AE544" s="303"/>
      <c r="AF544" s="303"/>
      <c r="AG544" s="303"/>
      <c r="AH544" s="303"/>
      <c r="AI544" s="303"/>
      <c r="AJ544" s="303"/>
      <c r="AK544" s="303"/>
      <c r="AL544" s="303"/>
    </row>
    <row r="545" spans="1:38" outlineLevel="1" x14ac:dyDescent="0.2">
      <c r="B545" s="234" t="s">
        <v>327</v>
      </c>
      <c r="C545" s="205" t="s">
        <v>328</v>
      </c>
      <c r="D545" s="205"/>
      <c r="E545" s="303">
        <f t="shared" ref="E545:AL545" si="287">IF(E$8=$D$536,1,0)</f>
        <v>0</v>
      </c>
      <c r="F545" s="303">
        <f t="shared" si="287"/>
        <v>0</v>
      </c>
      <c r="G545" s="303">
        <f t="shared" si="287"/>
        <v>0</v>
      </c>
      <c r="H545" s="303">
        <f t="shared" si="287"/>
        <v>0</v>
      </c>
      <c r="I545" s="303">
        <f t="shared" si="287"/>
        <v>0</v>
      </c>
      <c r="J545" s="303">
        <f t="shared" si="287"/>
        <v>0</v>
      </c>
      <c r="K545" s="303">
        <f t="shared" si="287"/>
        <v>0</v>
      </c>
      <c r="L545" s="303">
        <f t="shared" si="287"/>
        <v>0</v>
      </c>
      <c r="M545" s="303">
        <f t="shared" si="287"/>
        <v>0</v>
      </c>
      <c r="N545" s="303">
        <f t="shared" si="287"/>
        <v>0</v>
      </c>
      <c r="O545" s="303">
        <f t="shared" si="287"/>
        <v>0</v>
      </c>
      <c r="P545" s="303">
        <f t="shared" si="287"/>
        <v>0</v>
      </c>
      <c r="Q545" s="303">
        <f t="shared" si="287"/>
        <v>0</v>
      </c>
      <c r="R545" s="303">
        <f t="shared" si="287"/>
        <v>0</v>
      </c>
      <c r="S545" s="303">
        <f t="shared" si="287"/>
        <v>0</v>
      </c>
      <c r="T545" s="303">
        <f t="shared" si="287"/>
        <v>0</v>
      </c>
      <c r="U545" s="303">
        <f t="shared" si="287"/>
        <v>0</v>
      </c>
      <c r="V545" s="303">
        <f t="shared" si="287"/>
        <v>0</v>
      </c>
      <c r="W545" s="303">
        <f t="shared" si="287"/>
        <v>0</v>
      </c>
      <c r="X545" s="303">
        <f t="shared" si="287"/>
        <v>0</v>
      </c>
      <c r="Y545" s="303">
        <f t="shared" si="287"/>
        <v>0</v>
      </c>
      <c r="Z545" s="303">
        <f t="shared" si="287"/>
        <v>1</v>
      </c>
      <c r="AA545" s="303">
        <f t="shared" si="287"/>
        <v>0</v>
      </c>
      <c r="AB545" s="303">
        <f t="shared" si="287"/>
        <v>0</v>
      </c>
      <c r="AC545" s="303">
        <f t="shared" si="287"/>
        <v>0</v>
      </c>
      <c r="AD545" s="303">
        <f t="shared" si="287"/>
        <v>0</v>
      </c>
      <c r="AE545" s="303">
        <f t="shared" si="287"/>
        <v>0</v>
      </c>
      <c r="AF545" s="303">
        <f t="shared" si="287"/>
        <v>0</v>
      </c>
      <c r="AG545" s="303">
        <f t="shared" si="287"/>
        <v>0</v>
      </c>
      <c r="AH545" s="303">
        <f t="shared" si="287"/>
        <v>0</v>
      </c>
      <c r="AI545" s="303">
        <f t="shared" si="287"/>
        <v>0</v>
      </c>
      <c r="AJ545" s="303">
        <f t="shared" si="287"/>
        <v>0</v>
      </c>
      <c r="AK545" s="303">
        <f t="shared" si="287"/>
        <v>0</v>
      </c>
      <c r="AL545" s="303">
        <f t="shared" si="287"/>
        <v>0</v>
      </c>
    </row>
    <row r="546" spans="1:38" outlineLevel="1" x14ac:dyDescent="0.2">
      <c r="B546" s="234" t="s">
        <v>330</v>
      </c>
      <c r="C546" s="205" t="s">
        <v>326</v>
      </c>
      <c r="D546" s="205"/>
      <c r="E546" s="303">
        <f t="shared" ref="E546:AL546" ca="1" si="288">E540*E545</f>
        <v>0</v>
      </c>
      <c r="F546" s="303">
        <f t="shared" ca="1" si="288"/>
        <v>0</v>
      </c>
      <c r="G546" s="303">
        <f t="shared" ca="1" si="288"/>
        <v>0</v>
      </c>
      <c r="H546" s="303">
        <f t="shared" ca="1" si="288"/>
        <v>0</v>
      </c>
      <c r="I546" s="303">
        <f t="shared" ca="1" si="288"/>
        <v>0</v>
      </c>
      <c r="J546" s="303">
        <f t="shared" ca="1" si="288"/>
        <v>0</v>
      </c>
      <c r="K546" s="303">
        <f t="shared" ca="1" si="288"/>
        <v>0</v>
      </c>
      <c r="L546" s="303">
        <f t="shared" ca="1" si="288"/>
        <v>0</v>
      </c>
      <c r="M546" s="303">
        <f t="shared" ca="1" si="288"/>
        <v>0</v>
      </c>
      <c r="N546" s="303">
        <f t="shared" ca="1" si="288"/>
        <v>0</v>
      </c>
      <c r="O546" s="303">
        <f t="shared" ca="1" si="288"/>
        <v>0</v>
      </c>
      <c r="P546" s="303">
        <f t="shared" ca="1" si="288"/>
        <v>0</v>
      </c>
      <c r="Q546" s="303">
        <f t="shared" ca="1" si="288"/>
        <v>0</v>
      </c>
      <c r="R546" s="303">
        <f t="shared" ca="1" si="288"/>
        <v>0</v>
      </c>
      <c r="S546" s="303">
        <f t="shared" ca="1" si="288"/>
        <v>0</v>
      </c>
      <c r="T546" s="303">
        <f t="shared" ca="1" si="288"/>
        <v>0</v>
      </c>
      <c r="U546" s="303">
        <f t="shared" ca="1" si="288"/>
        <v>0</v>
      </c>
      <c r="V546" s="303">
        <f t="shared" ca="1" si="288"/>
        <v>0</v>
      </c>
      <c r="W546" s="303">
        <f t="shared" ca="1" si="288"/>
        <v>0</v>
      </c>
      <c r="X546" s="303">
        <f t="shared" ca="1" si="288"/>
        <v>0</v>
      </c>
      <c r="Y546" s="303">
        <f t="shared" ca="1" si="288"/>
        <v>0</v>
      </c>
      <c r="Z546" s="303">
        <f t="shared" ca="1" si="288"/>
        <v>0.52530806992830148</v>
      </c>
      <c r="AA546" s="303">
        <f t="shared" ca="1" si="288"/>
        <v>0</v>
      </c>
      <c r="AB546" s="303">
        <f t="shared" ca="1" si="288"/>
        <v>0</v>
      </c>
      <c r="AC546" s="303">
        <f t="shared" ca="1" si="288"/>
        <v>0</v>
      </c>
      <c r="AD546" s="303">
        <f t="shared" ca="1" si="288"/>
        <v>0</v>
      </c>
      <c r="AE546" s="303">
        <f t="shared" ca="1" si="288"/>
        <v>0</v>
      </c>
      <c r="AF546" s="303">
        <f t="shared" ca="1" si="288"/>
        <v>0</v>
      </c>
      <c r="AG546" s="303">
        <f t="shared" ca="1" si="288"/>
        <v>0</v>
      </c>
      <c r="AH546" s="303">
        <f t="shared" ca="1" si="288"/>
        <v>0</v>
      </c>
      <c r="AI546" s="303">
        <f t="shared" ca="1" si="288"/>
        <v>0</v>
      </c>
      <c r="AJ546" s="303">
        <f t="shared" ca="1" si="288"/>
        <v>0</v>
      </c>
      <c r="AK546" s="303">
        <f t="shared" ca="1" si="288"/>
        <v>0</v>
      </c>
      <c r="AL546" s="303">
        <f t="shared" ca="1" si="288"/>
        <v>0</v>
      </c>
    </row>
    <row r="547" spans="1:38" outlineLevel="1" x14ac:dyDescent="0.2">
      <c r="B547" s="246"/>
      <c r="D547" s="205"/>
    </row>
    <row r="548" spans="1:38" s="237" customFormat="1" outlineLevel="1" x14ac:dyDescent="0.2">
      <c r="A548" s="218"/>
      <c r="B548" s="239" t="s">
        <v>75</v>
      </c>
      <c r="C548" s="247" t="s">
        <v>37</v>
      </c>
      <c r="D548" s="247"/>
      <c r="E548" s="248">
        <f t="shared" ref="E548:AL548" si="289">E119</f>
        <v>-1.7</v>
      </c>
      <c r="F548" s="248">
        <f t="shared" si="289"/>
        <v>1.9</v>
      </c>
      <c r="G548" s="248">
        <f t="shared" si="289"/>
        <v>1.7</v>
      </c>
      <c r="H548" s="248">
        <f t="shared" si="289"/>
        <v>5.5</v>
      </c>
      <c r="I548" s="248">
        <f t="shared" si="289"/>
        <v>-13.2</v>
      </c>
      <c r="J548" s="248">
        <f t="shared" si="289"/>
        <v>6.1</v>
      </c>
      <c r="K548" s="248">
        <f t="shared" si="289"/>
        <v>5.4973803647058688</v>
      </c>
      <c r="L548" s="248">
        <f t="shared" si="289"/>
        <v>10.974312621889503</v>
      </c>
      <c r="M548" s="248">
        <f t="shared" si="289"/>
        <v>8.6279154009411769</v>
      </c>
      <c r="N548" s="248">
        <f t="shared" si="289"/>
        <v>12.952452307583965</v>
      </c>
      <c r="O548" s="248">
        <f t="shared" si="289"/>
        <v>10.652694631588233</v>
      </c>
      <c r="P548" s="248">
        <f t="shared" si="289"/>
        <v>14.878359362683156</v>
      </c>
      <c r="Q548" s="248">
        <f t="shared" si="289"/>
        <v>12.795198300017649</v>
      </c>
      <c r="R548" s="248">
        <f t="shared" si="289"/>
        <v>15.628457330817334</v>
      </c>
      <c r="S548" s="248">
        <f t="shared" si="289"/>
        <v>14.002614742916016</v>
      </c>
      <c r="T548" s="248">
        <f t="shared" si="289"/>
        <v>16.969156271554311</v>
      </c>
      <c r="U548" s="248">
        <f t="shared" si="289"/>
        <v>14.709301842061837</v>
      </c>
      <c r="V548" s="248">
        <f t="shared" si="289"/>
        <v>17.824170447132033</v>
      </c>
      <c r="W548" s="248">
        <f t="shared" si="289"/>
        <v>15.451519987024902</v>
      </c>
      <c r="X548" s="248">
        <f t="shared" si="289"/>
        <v>18.722132022348632</v>
      </c>
      <c r="Y548" s="248">
        <f t="shared" si="289"/>
        <v>16.231051630821945</v>
      </c>
      <c r="Z548" s="248">
        <f t="shared" si="289"/>
        <v>19.665194267911858</v>
      </c>
      <c r="AA548" s="248">
        <f t="shared" si="289"/>
        <v>17.049768526142238</v>
      </c>
      <c r="AB548" s="248">
        <f t="shared" si="289"/>
        <v>20.65561829508664</v>
      </c>
      <c r="AC548" s="248">
        <f t="shared" si="289"/>
        <v>17.909636195641902</v>
      </c>
      <c r="AD548" s="248">
        <f t="shared" si="289"/>
        <v>21.695778453033526</v>
      </c>
      <c r="AE548" s="248">
        <f t="shared" si="289"/>
        <v>18.812718625912332</v>
      </c>
      <c r="AF548" s="248">
        <f t="shared" si="289"/>
        <v>22.788167996173492</v>
      </c>
      <c r="AG548" s="248">
        <f t="shared" si="289"/>
        <v>19.761183196310888</v>
      </c>
      <c r="AH548" s="248">
        <f t="shared" si="289"/>
        <v>23.935405035085182</v>
      </c>
      <c r="AI548" s="248">
        <f t="shared" si="289"/>
        <v>20.757305854402503</v>
      </c>
      <c r="AJ548" s="248">
        <f t="shared" si="289"/>
        <v>25.140238785115493</v>
      </c>
      <c r="AK548" s="248">
        <f t="shared" si="289"/>
        <v>21.803476550347014</v>
      </c>
      <c r="AL548" s="248">
        <f t="shared" si="289"/>
        <v>26.405556127595609</v>
      </c>
    </row>
    <row r="549" spans="1:38" outlineLevel="1" x14ac:dyDescent="0.2">
      <c r="B549" s="234" t="s">
        <v>331</v>
      </c>
      <c r="C549" s="205" t="s">
        <v>37</v>
      </c>
      <c r="D549" s="205"/>
      <c r="E549" s="256">
        <f t="shared" ref="E549:AL549" si="290">E164</f>
        <v>0</v>
      </c>
      <c r="F549" s="256">
        <f t="shared" si="290"/>
        <v>0</v>
      </c>
      <c r="G549" s="256">
        <f t="shared" si="290"/>
        <v>0.3</v>
      </c>
      <c r="H549" s="256">
        <f t="shared" si="290"/>
        <v>-14.9</v>
      </c>
      <c r="I549" s="256">
        <f t="shared" si="290"/>
        <v>-11.6</v>
      </c>
      <c r="J549" s="256">
        <f t="shared" si="290"/>
        <v>-5.6</v>
      </c>
      <c r="K549" s="256">
        <f t="shared" si="290"/>
        <v>-4.3125</v>
      </c>
      <c r="L549" s="256">
        <f t="shared" si="290"/>
        <v>-4.3446327683615831</v>
      </c>
      <c r="M549" s="256">
        <f t="shared" si="290"/>
        <v>-2.3236797573999999</v>
      </c>
      <c r="N549" s="256">
        <f t="shared" si="290"/>
        <v>-3.2548661580779683</v>
      </c>
      <c r="O549" s="256">
        <f t="shared" si="290"/>
        <v>-1.2116760856200002</v>
      </c>
      <c r="P549" s="256">
        <f t="shared" si="290"/>
        <v>-1.0882686285765004</v>
      </c>
      <c r="Q549" s="256">
        <f t="shared" si="290"/>
        <v>-1.1600016643215003</v>
      </c>
      <c r="R549" s="256">
        <f t="shared" si="290"/>
        <v>-1.1426820600053256</v>
      </c>
      <c r="S549" s="256">
        <f t="shared" si="290"/>
        <v>-1.1787113685847499</v>
      </c>
      <c r="T549" s="256">
        <f t="shared" si="290"/>
        <v>-1.1611124158118631</v>
      </c>
      <c r="U549" s="256">
        <f t="shared" si="290"/>
        <v>-1.2376469370139878</v>
      </c>
      <c r="V549" s="256">
        <f t="shared" si="290"/>
        <v>-1.2191680366024564</v>
      </c>
      <c r="W549" s="256">
        <f t="shared" si="290"/>
        <v>-1.2995292838646868</v>
      </c>
      <c r="X549" s="256">
        <f t="shared" si="290"/>
        <v>-1.2801264384325792</v>
      </c>
      <c r="Y549" s="256">
        <f t="shared" si="290"/>
        <v>-1.364505748057921</v>
      </c>
      <c r="Z549" s="256">
        <f t="shared" si="290"/>
        <v>-1.3441327603542084</v>
      </c>
      <c r="AA549" s="256">
        <f t="shared" si="290"/>
        <v>-1.4327310354608174</v>
      </c>
      <c r="AB549" s="256">
        <f t="shared" si="290"/>
        <v>-1.4113393983719189</v>
      </c>
      <c r="AC549" s="256">
        <f t="shared" si="290"/>
        <v>-1.5043675872338584</v>
      </c>
      <c r="AD549" s="256">
        <f t="shared" si="290"/>
        <v>-1.4819063682905149</v>
      </c>
      <c r="AE549" s="256">
        <f t="shared" si="290"/>
        <v>-1.5795859665955516</v>
      </c>
      <c r="AF549" s="256">
        <f t="shared" si="290"/>
        <v>-1.5560016867050404</v>
      </c>
      <c r="AG549" s="256">
        <f t="shared" si="290"/>
        <v>-1.6585652649253293</v>
      </c>
      <c r="AH549" s="256">
        <f t="shared" si="290"/>
        <v>-1.6338017710402932</v>
      </c>
      <c r="AI549" s="256">
        <f t="shared" si="290"/>
        <v>-1.7414935281715958</v>
      </c>
      <c r="AJ549" s="256">
        <f t="shared" si="290"/>
        <v>-1.7154918595923077</v>
      </c>
      <c r="AK549" s="256">
        <f t="shared" si="290"/>
        <v>-1.8285682045801754</v>
      </c>
      <c r="AL549" s="256">
        <f t="shared" si="290"/>
        <v>-1.8012664525719231</v>
      </c>
    </row>
    <row r="550" spans="1:38" outlineLevel="1" x14ac:dyDescent="0.2">
      <c r="B550" s="234" t="s">
        <v>332</v>
      </c>
      <c r="C550" s="205" t="s">
        <v>37</v>
      </c>
      <c r="D550" s="205"/>
      <c r="E550" s="256">
        <f>-(E119+E120)*30%</f>
        <v>0.51</v>
      </c>
      <c r="F550" s="256">
        <f>-(F119+F120)*30%</f>
        <v>-0.56999999999999995</v>
      </c>
      <c r="G550" s="256">
        <f>-(G119+G120)*30%</f>
        <v>5.9999999999999984E-2</v>
      </c>
      <c r="H550" s="256">
        <f>-(H119+H120)*30%</f>
        <v>-0.99</v>
      </c>
      <c r="I550" s="256">
        <f>-(I119+I120)*30%</f>
        <v>5.8199999999999994</v>
      </c>
      <c r="J550" s="256">
        <f t="shared" ref="J550:AL550" si="291">J630</f>
        <v>0</v>
      </c>
      <c r="K550" s="256">
        <f t="shared" si="291"/>
        <v>0</v>
      </c>
      <c r="L550" s="256">
        <f t="shared" si="291"/>
        <v>-1.7105871175954244</v>
      </c>
      <c r="M550" s="256">
        <f t="shared" si="291"/>
        <v>-1.0671156978365979</v>
      </c>
      <c r="N550" s="256">
        <f t="shared" si="291"/>
        <v>-2.3569738240594718</v>
      </c>
      <c r="O550" s="256">
        <f t="shared" si="291"/>
        <v>-1.6629399868712722</v>
      </c>
      <c r="P550" s="256">
        <f t="shared" si="291"/>
        <v>-2.9157555016235879</v>
      </c>
      <c r="Q550" s="256">
        <f t="shared" si="291"/>
        <v>-2.2802510114492054</v>
      </c>
      <c r="R550" s="256">
        <f t="shared" si="291"/>
        <v>-3.125296062178903</v>
      </c>
      <c r="S550" s="256">
        <f t="shared" si="291"/>
        <v>-2.6357494112051159</v>
      </c>
      <c r="T550" s="256">
        <f t="shared" si="291"/>
        <v>-3.512794655446299</v>
      </c>
      <c r="U550" s="256">
        <f t="shared" si="291"/>
        <v>-2.8260579139280804</v>
      </c>
      <c r="V550" s="256">
        <f t="shared" si="291"/>
        <v>-3.7408082330375461</v>
      </c>
      <c r="W550" s="256">
        <f t="shared" si="291"/>
        <v>-3.0143146468950017</v>
      </c>
      <c r="X550" s="256">
        <f t="shared" si="291"/>
        <v>-3.9699190122411947</v>
      </c>
      <c r="Y550" s="256">
        <f t="shared" si="291"/>
        <v>-3.2028088664744616</v>
      </c>
      <c r="Z550" s="256">
        <f t="shared" si="291"/>
        <v>-4.2023139072726412</v>
      </c>
      <c r="AA550" s="256">
        <f t="shared" si="291"/>
        <v>-3.3934530016387168</v>
      </c>
      <c r="AB550" s="256">
        <f t="shared" si="291"/>
        <v>-4.4398512947260675</v>
      </c>
      <c r="AC550" s="256">
        <f t="shared" si="291"/>
        <v>-3.5878648228566252</v>
      </c>
      <c r="AD550" s="256">
        <f t="shared" si="291"/>
        <v>-4.6841346177528864</v>
      </c>
      <c r="AE550" s="256">
        <f t="shared" si="291"/>
        <v>-3.7874329544642773</v>
      </c>
      <c r="AF550" s="256">
        <f t="shared" si="291"/>
        <v>-4.9365711625489981</v>
      </c>
      <c r="AG550" s="256">
        <f t="shared" si="291"/>
        <v>-3.9933691664888347</v>
      </c>
      <c r="AH550" s="256">
        <f t="shared" si="291"/>
        <v>-5.198419070567982</v>
      </c>
      <c r="AI550" s="256">
        <f t="shared" si="291"/>
        <v>-4.2067501761349186</v>
      </c>
      <c r="AJ550" s="256">
        <f t="shared" si="291"/>
        <v>-5.4708250208703193</v>
      </c>
      <c r="AK550" s="256">
        <f t="shared" si="291"/>
        <v>-4.4285511284945462</v>
      </c>
      <c r="AL550" s="256">
        <f t="shared" si="291"/>
        <v>-5.7548545173595782</v>
      </c>
    </row>
    <row r="551" spans="1:38" outlineLevel="1" x14ac:dyDescent="0.2">
      <c r="B551" s="234" t="s">
        <v>333</v>
      </c>
      <c r="C551" s="205" t="s">
        <v>37</v>
      </c>
      <c r="D551" s="205"/>
      <c r="E551" s="256">
        <f t="shared" ref="E551:AL551" si="292">SUM(E258:E263)</f>
        <v>-2.9</v>
      </c>
      <c r="F551" s="256">
        <f t="shared" si="292"/>
        <v>-0.39999999999999991</v>
      </c>
      <c r="G551" s="256">
        <f t="shared" si="292"/>
        <v>5</v>
      </c>
      <c r="H551" s="256">
        <f t="shared" si="292"/>
        <v>-74.8</v>
      </c>
      <c r="I551" s="256">
        <f t="shared" si="292"/>
        <v>-4.3</v>
      </c>
      <c r="J551" s="256">
        <f t="shared" si="292"/>
        <v>-4.6999999999999993</v>
      </c>
      <c r="K551" s="256">
        <f t="shared" si="292"/>
        <v>-5.0485270588235283</v>
      </c>
      <c r="L551" s="256">
        <f t="shared" si="292"/>
        <v>-4.9731491574569233</v>
      </c>
      <c r="M551" s="256">
        <f t="shared" si="292"/>
        <v>-5.3009534117647048</v>
      </c>
      <c r="N551" s="256">
        <f t="shared" si="292"/>
        <v>-5.2218066153297693</v>
      </c>
      <c r="O551" s="256">
        <f t="shared" si="292"/>
        <v>-5.5660010823529404</v>
      </c>
      <c r="P551" s="256">
        <f t="shared" si="292"/>
        <v>-5.4828969460962576</v>
      </c>
      <c r="Q551" s="256">
        <f t="shared" si="292"/>
        <v>-5.3456297895000002</v>
      </c>
      <c r="R551" s="256">
        <f t="shared" si="292"/>
        <v>-5.265815944725003</v>
      </c>
      <c r="S551" s="256">
        <f t="shared" si="292"/>
        <v>-5.6129112789749991</v>
      </c>
      <c r="T551" s="256">
        <f t="shared" si="292"/>
        <v>-5.529106741961253</v>
      </c>
      <c r="U551" s="256">
        <f t="shared" si="292"/>
        <v>-5.8935568429237515</v>
      </c>
      <c r="V551" s="256">
        <f t="shared" si="292"/>
        <v>-5.8055620790593165</v>
      </c>
      <c r="W551" s="256">
        <f t="shared" si="292"/>
        <v>-6.1882346850699372</v>
      </c>
      <c r="X551" s="256">
        <f t="shared" si="292"/>
        <v>-6.0958401830122826</v>
      </c>
      <c r="Y551" s="256">
        <f t="shared" si="292"/>
        <v>-6.4976464193234333</v>
      </c>
      <c r="Z551" s="256">
        <f t="shared" si="292"/>
        <v>-6.4006321921628961</v>
      </c>
      <c r="AA551" s="256">
        <f t="shared" si="292"/>
        <v>-6.8225287402896058</v>
      </c>
      <c r="AB551" s="256">
        <f t="shared" si="292"/>
        <v>-6.7206638017710425</v>
      </c>
      <c r="AC551" s="256">
        <f t="shared" si="292"/>
        <v>-7.1636551773040873</v>
      </c>
      <c r="AD551" s="256">
        <f t="shared" si="292"/>
        <v>-7.056696991859595</v>
      </c>
      <c r="AE551" s="256">
        <f t="shared" si="292"/>
        <v>-7.5218379361692929</v>
      </c>
      <c r="AF551" s="256">
        <f t="shared" si="292"/>
        <v>-7.4095318414525728</v>
      </c>
      <c r="AG551" s="256">
        <f t="shared" si="292"/>
        <v>-7.8979298329777574</v>
      </c>
      <c r="AH551" s="256">
        <f t="shared" si="292"/>
        <v>-7.7800084335252055</v>
      </c>
      <c r="AI551" s="256">
        <f t="shared" si="292"/>
        <v>-8.2928263246266454</v>
      </c>
      <c r="AJ551" s="256">
        <f t="shared" si="292"/>
        <v>-8.169008855201465</v>
      </c>
      <c r="AK551" s="256">
        <f t="shared" si="292"/>
        <v>-8.7074676408579776</v>
      </c>
      <c r="AL551" s="256">
        <f t="shared" si="292"/>
        <v>-8.5774592979615374</v>
      </c>
    </row>
    <row r="552" spans="1:38" outlineLevel="1" x14ac:dyDescent="0.2">
      <c r="B552" s="234" t="s">
        <v>334</v>
      </c>
      <c r="C552" s="205" t="s">
        <v>37</v>
      </c>
      <c r="D552" s="205"/>
      <c r="E552" s="256">
        <f t="shared" ref="E552:AL552" si="293">E377</f>
        <v>0</v>
      </c>
      <c r="F552" s="256">
        <f t="shared" si="293"/>
        <v>0</v>
      </c>
      <c r="G552" s="256">
        <f t="shared" si="293"/>
        <v>0</v>
      </c>
      <c r="H552" s="256">
        <f t="shared" si="293"/>
        <v>3.9999999999999982</v>
      </c>
      <c r="I552" s="256">
        <f t="shared" si="293"/>
        <v>6.5000000000000036</v>
      </c>
      <c r="J552" s="256">
        <f t="shared" si="293"/>
        <v>-1.3000000000000043</v>
      </c>
      <c r="K552" s="256">
        <f t="shared" si="293"/>
        <v>2.3693929411764714</v>
      </c>
      <c r="L552" s="256">
        <f t="shared" si="293"/>
        <v>-0.39819195721923961</v>
      </c>
      <c r="M552" s="256">
        <f t="shared" si="293"/>
        <v>1.7316616042780595</v>
      </c>
      <c r="N552" s="256">
        <f t="shared" si="293"/>
        <v>-0.4181015550802023</v>
      </c>
      <c r="O552" s="256">
        <f t="shared" si="293"/>
        <v>1.8182446844919689</v>
      </c>
      <c r="P552" s="256">
        <f t="shared" si="293"/>
        <v>-0.43900663283421437</v>
      </c>
      <c r="Q552" s="256">
        <f t="shared" si="293"/>
        <v>1.9091569187165689</v>
      </c>
      <c r="R552" s="256">
        <f t="shared" si="293"/>
        <v>-0.46095696447591905</v>
      </c>
      <c r="S552" s="256">
        <f t="shared" si="293"/>
        <v>2.0046147646523877</v>
      </c>
      <c r="T552" s="256">
        <f t="shared" si="293"/>
        <v>-0.48400481269971252</v>
      </c>
      <c r="U552" s="256">
        <f t="shared" si="293"/>
        <v>2.1048455028850164</v>
      </c>
      <c r="V552" s="256">
        <f t="shared" si="293"/>
        <v>-0.50820505333470578</v>
      </c>
      <c r="W552" s="256">
        <f t="shared" si="293"/>
        <v>2.2100877780292549</v>
      </c>
      <c r="X552" s="256">
        <f t="shared" si="293"/>
        <v>-0.5336153060014226</v>
      </c>
      <c r="Y552" s="256">
        <f t="shared" si="293"/>
        <v>2.3205921669307017</v>
      </c>
      <c r="Z552" s="256">
        <f t="shared" si="293"/>
        <v>-0.56029607130148662</v>
      </c>
      <c r="AA552" s="256">
        <f t="shared" si="293"/>
        <v>2.4366217752772457</v>
      </c>
      <c r="AB552" s="256">
        <f t="shared" si="293"/>
        <v>-0.58831087486657196</v>
      </c>
      <c r="AC552" s="256">
        <f t="shared" si="293"/>
        <v>2.558452864041115</v>
      </c>
      <c r="AD552" s="256">
        <f t="shared" si="293"/>
        <v>-0.61772641860989808</v>
      </c>
      <c r="AE552" s="256">
        <f t="shared" si="293"/>
        <v>2.6863755072431772</v>
      </c>
      <c r="AF552" s="256">
        <f t="shared" si="293"/>
        <v>-0.6486127395404182</v>
      </c>
      <c r="AG552" s="256">
        <f t="shared" si="293"/>
        <v>2.8206942826053449</v>
      </c>
      <c r="AH552" s="256">
        <f t="shared" si="293"/>
        <v>-0.68104337651741531</v>
      </c>
      <c r="AI552" s="256">
        <f t="shared" si="293"/>
        <v>2.9617289967355873</v>
      </c>
      <c r="AJ552" s="256">
        <f t="shared" si="293"/>
        <v>-0.71509554534328856</v>
      </c>
      <c r="AK552" s="256">
        <f t="shared" si="293"/>
        <v>3.1098154465723837</v>
      </c>
      <c r="AL552" s="256">
        <f t="shared" si="293"/>
        <v>-0.75085032261046791</v>
      </c>
    </row>
    <row r="553" spans="1:38" s="262" customFormat="1" outlineLevel="1" x14ac:dyDescent="0.2">
      <c r="A553" s="218"/>
      <c r="B553" s="312" t="s">
        <v>67</v>
      </c>
      <c r="C553" s="260" t="s">
        <v>67</v>
      </c>
      <c r="D553" s="260" t="s">
        <v>67</v>
      </c>
      <c r="E553" s="287" t="s">
        <v>67</v>
      </c>
      <c r="F553" s="287" t="s">
        <v>67</v>
      </c>
      <c r="G553" s="287" t="s">
        <v>67</v>
      </c>
      <c r="H553" s="287" t="s">
        <v>67</v>
      </c>
      <c r="I553" s="287" t="s">
        <v>67</v>
      </c>
      <c r="J553" s="287" t="s">
        <v>67</v>
      </c>
      <c r="K553" s="287" t="s">
        <v>67</v>
      </c>
      <c r="L553" s="287" t="s">
        <v>67</v>
      </c>
      <c r="M553" s="287" t="s">
        <v>67</v>
      </c>
      <c r="N553" s="287" t="s">
        <v>67</v>
      </c>
      <c r="O553" s="287" t="s">
        <v>67</v>
      </c>
      <c r="P553" s="287" t="s">
        <v>67</v>
      </c>
      <c r="Q553" s="287" t="s">
        <v>67</v>
      </c>
      <c r="R553" s="287" t="s">
        <v>67</v>
      </c>
      <c r="S553" s="287" t="s">
        <v>67</v>
      </c>
      <c r="T553" s="287" t="s">
        <v>67</v>
      </c>
      <c r="U553" s="287" t="s">
        <v>67</v>
      </c>
      <c r="V553" s="287" t="s">
        <v>67</v>
      </c>
      <c r="W553" s="287" t="s">
        <v>67</v>
      </c>
      <c r="X553" s="287" t="s">
        <v>67</v>
      </c>
      <c r="Y553" s="287" t="s">
        <v>67</v>
      </c>
      <c r="Z553" s="287" t="s">
        <v>67</v>
      </c>
      <c r="AA553" s="287" t="s">
        <v>67</v>
      </c>
      <c r="AB553" s="287" t="s">
        <v>67</v>
      </c>
      <c r="AC553" s="287" t="s">
        <v>67</v>
      </c>
      <c r="AD553" s="287" t="s">
        <v>67</v>
      </c>
      <c r="AE553" s="287" t="s">
        <v>67</v>
      </c>
      <c r="AF553" s="287" t="s">
        <v>67</v>
      </c>
      <c r="AG553" s="287" t="s">
        <v>67</v>
      </c>
      <c r="AH553" s="287" t="s">
        <v>67</v>
      </c>
      <c r="AI553" s="287" t="s">
        <v>67</v>
      </c>
      <c r="AJ553" s="287" t="s">
        <v>67</v>
      </c>
      <c r="AK553" s="287" t="s">
        <v>67</v>
      </c>
      <c r="AL553" s="287" t="s">
        <v>67</v>
      </c>
    </row>
    <row r="554" spans="1:38" s="237" customFormat="1" outlineLevel="1" x14ac:dyDescent="0.2">
      <c r="A554" s="218"/>
      <c r="B554" s="239" t="s">
        <v>335</v>
      </c>
      <c r="C554" s="247" t="s">
        <v>37</v>
      </c>
      <c r="D554" s="247"/>
      <c r="E554" s="248">
        <f t="shared" ref="E554:AL554" si="294">SUM(E548:E553)</f>
        <v>-4.09</v>
      </c>
      <c r="F554" s="248">
        <f t="shared" si="294"/>
        <v>0.93000000000000016</v>
      </c>
      <c r="G554" s="248">
        <f t="shared" si="294"/>
        <v>7.0600000000000005</v>
      </c>
      <c r="H554" s="248">
        <f t="shared" si="294"/>
        <v>-81.19</v>
      </c>
      <c r="I554" s="248">
        <f t="shared" si="294"/>
        <v>-16.779999999999994</v>
      </c>
      <c r="J554" s="248">
        <f t="shared" si="294"/>
        <v>-5.5000000000000036</v>
      </c>
      <c r="K554" s="248">
        <f t="shared" si="294"/>
        <v>-1.4942537529411881</v>
      </c>
      <c r="L554" s="248">
        <f t="shared" si="294"/>
        <v>-0.45224837874366752</v>
      </c>
      <c r="M554" s="248">
        <f t="shared" si="294"/>
        <v>1.6678281382179341</v>
      </c>
      <c r="N554" s="248">
        <f t="shared" si="294"/>
        <v>1.7007041550365534</v>
      </c>
      <c r="O554" s="248">
        <f t="shared" si="294"/>
        <v>4.0303221612359881</v>
      </c>
      <c r="P554" s="248">
        <f t="shared" si="294"/>
        <v>4.9524316535525958</v>
      </c>
      <c r="Q554" s="248">
        <f t="shared" si="294"/>
        <v>5.9184727534635115</v>
      </c>
      <c r="R554" s="248">
        <f t="shared" si="294"/>
        <v>5.6337062994321832</v>
      </c>
      <c r="S554" s="248">
        <f t="shared" si="294"/>
        <v>6.5798574488035397</v>
      </c>
      <c r="T554" s="248">
        <f t="shared" si="294"/>
        <v>6.2821376456351841</v>
      </c>
      <c r="U554" s="248">
        <f t="shared" si="294"/>
        <v>6.8568856510810337</v>
      </c>
      <c r="V554" s="248">
        <f t="shared" si="294"/>
        <v>6.5504270450980071</v>
      </c>
      <c r="W554" s="248">
        <f t="shared" si="294"/>
        <v>7.1595291492245314</v>
      </c>
      <c r="X554" s="248">
        <f t="shared" si="294"/>
        <v>6.8426310826611525</v>
      </c>
      <c r="Y554" s="248">
        <f t="shared" si="294"/>
        <v>7.4866827638968312</v>
      </c>
      <c r="Z554" s="248">
        <f t="shared" si="294"/>
        <v>7.1578193368206238</v>
      </c>
      <c r="AA554" s="248">
        <f t="shared" si="294"/>
        <v>7.8376775240303438</v>
      </c>
      <c r="AB554" s="248">
        <f t="shared" si="294"/>
        <v>7.4954529253510387</v>
      </c>
      <c r="AC554" s="248">
        <f t="shared" si="294"/>
        <v>8.2122014722884451</v>
      </c>
      <c r="AD554" s="248">
        <f t="shared" si="294"/>
        <v>7.8553140565206299</v>
      </c>
      <c r="AE554" s="248">
        <f t="shared" si="294"/>
        <v>8.6102372759263872</v>
      </c>
      <c r="AF554" s="248">
        <f t="shared" si="294"/>
        <v>8.2374505659264621</v>
      </c>
      <c r="AG554" s="248">
        <f t="shared" si="294"/>
        <v>9.0320132145243122</v>
      </c>
      <c r="AH554" s="248">
        <f t="shared" si="294"/>
        <v>8.6421323834342854</v>
      </c>
      <c r="AI554" s="248">
        <f t="shared" si="294"/>
        <v>9.4779648222049317</v>
      </c>
      <c r="AJ554" s="248">
        <f t="shared" si="294"/>
        <v>9.0698175041081122</v>
      </c>
      <c r="AK554" s="248">
        <f t="shared" si="294"/>
        <v>9.9487050229866973</v>
      </c>
      <c r="AL554" s="248">
        <f t="shared" si="294"/>
        <v>9.521125537092102</v>
      </c>
    </row>
    <row r="555" spans="1:38" outlineLevel="1" x14ac:dyDescent="0.2">
      <c r="B555" s="234" t="s">
        <v>336</v>
      </c>
      <c r="C555" s="205" t="s">
        <v>37</v>
      </c>
      <c r="D555" s="313">
        <f ca="1">SUM(E555:AL555)</f>
        <v>53.662986420841349</v>
      </c>
      <c r="E555" s="256">
        <f t="shared" ref="E555:AL555" ca="1" si="295">E554*E543</f>
        <v>0</v>
      </c>
      <c r="F555" s="256">
        <f t="shared" ca="1" si="295"/>
        <v>0</v>
      </c>
      <c r="G555" s="256">
        <f t="shared" ca="1" si="295"/>
        <v>0</v>
      </c>
      <c r="H555" s="256">
        <f t="shared" ca="1" si="295"/>
        <v>0</v>
      </c>
      <c r="I555" s="256">
        <f t="shared" ca="1" si="295"/>
        <v>0</v>
      </c>
      <c r="J555" s="256">
        <f t="shared" ca="1" si="295"/>
        <v>0</v>
      </c>
      <c r="K555" s="256">
        <f t="shared" ca="1" si="295"/>
        <v>0</v>
      </c>
      <c r="L555" s="256">
        <f t="shared" ca="1" si="295"/>
        <v>0</v>
      </c>
      <c r="M555" s="256">
        <f t="shared" ca="1" si="295"/>
        <v>1.5923278145098207</v>
      </c>
      <c r="N555" s="256">
        <f t="shared" ca="1" si="295"/>
        <v>1.5509929544422192</v>
      </c>
      <c r="O555" s="256">
        <f t="shared" ca="1" si="295"/>
        <v>3.5091505401646552</v>
      </c>
      <c r="P555" s="256">
        <f t="shared" ca="1" si="295"/>
        <v>4.1199309431314912</v>
      </c>
      <c r="Q555" s="256">
        <f t="shared" ca="1" si="295"/>
        <v>4.7006972717193616</v>
      </c>
      <c r="R555" s="256">
        <f t="shared" ca="1" si="295"/>
        <v>4.2751961146475077</v>
      </c>
      <c r="S555" s="256">
        <f t="shared" ca="1" si="295"/>
        <v>4.7671575923701326</v>
      </c>
      <c r="T555" s="256">
        <f t="shared" ca="1" si="295"/>
        <v>4.3487023285835571</v>
      </c>
      <c r="U555" s="256">
        <f t="shared" ca="1" si="295"/>
        <v>4.5316913721344827</v>
      </c>
      <c r="V555" s="256">
        <f t="shared" ca="1" si="295"/>
        <v>4.1352607512020105</v>
      </c>
      <c r="W555" s="256">
        <f t="shared" ca="1" si="295"/>
        <v>4.3151801535009655</v>
      </c>
      <c r="X555" s="256">
        <f t="shared" ca="1" si="295"/>
        <v>3.9404589250133069</v>
      </c>
      <c r="Y555" s="256">
        <f t="shared" ca="1" si="295"/>
        <v>4.1161793987011226</v>
      </c>
      <c r="Z555" s="256">
        <f t="shared" ca="1" si="295"/>
        <v>3.7600602607207168</v>
      </c>
      <c r="AA555" s="256">
        <f t="shared" ca="1" si="295"/>
        <v>0</v>
      </c>
      <c r="AB555" s="256">
        <f t="shared" ca="1" si="295"/>
        <v>0</v>
      </c>
      <c r="AC555" s="256">
        <f t="shared" ca="1" si="295"/>
        <v>0</v>
      </c>
      <c r="AD555" s="256">
        <f t="shared" ca="1" si="295"/>
        <v>0</v>
      </c>
      <c r="AE555" s="256">
        <f t="shared" ca="1" si="295"/>
        <v>0</v>
      </c>
      <c r="AF555" s="256">
        <f t="shared" ca="1" si="295"/>
        <v>0</v>
      </c>
      <c r="AG555" s="256">
        <f t="shared" ca="1" si="295"/>
        <v>0</v>
      </c>
      <c r="AH555" s="256">
        <f t="shared" ca="1" si="295"/>
        <v>0</v>
      </c>
      <c r="AI555" s="256">
        <f t="shared" ca="1" si="295"/>
        <v>0</v>
      </c>
      <c r="AJ555" s="256">
        <f t="shared" ca="1" si="295"/>
        <v>0</v>
      </c>
      <c r="AK555" s="256">
        <f t="shared" ca="1" si="295"/>
        <v>0</v>
      </c>
      <c r="AL555" s="256">
        <f t="shared" ca="1" si="295"/>
        <v>0</v>
      </c>
    </row>
    <row r="556" spans="1:38" outlineLevel="1" x14ac:dyDescent="0.2">
      <c r="B556" s="234" t="s">
        <v>337</v>
      </c>
      <c r="C556" s="205" t="s">
        <v>37</v>
      </c>
      <c r="D556" s="313">
        <f ca="1">SUM(E556:AL556)</f>
        <v>119.6024360391926</v>
      </c>
      <c r="E556" s="256">
        <f t="shared" ref="E556:AL556" ca="1" si="296">(SUM(D554:E554)*(1+$D$532)/($D$531-$D$532)*E546)</f>
        <v>0</v>
      </c>
      <c r="F556" s="256">
        <f t="shared" ca="1" si="296"/>
        <v>0</v>
      </c>
      <c r="G556" s="256">
        <f t="shared" ca="1" si="296"/>
        <v>0</v>
      </c>
      <c r="H556" s="256">
        <f t="shared" ca="1" si="296"/>
        <v>0</v>
      </c>
      <c r="I556" s="256">
        <f t="shared" ca="1" si="296"/>
        <v>0</v>
      </c>
      <c r="J556" s="256">
        <f t="shared" ca="1" si="296"/>
        <v>0</v>
      </c>
      <c r="K556" s="256">
        <f t="shared" ca="1" si="296"/>
        <v>0</v>
      </c>
      <c r="L556" s="256">
        <f t="shared" ca="1" si="296"/>
        <v>0</v>
      </c>
      <c r="M556" s="256">
        <f t="shared" ca="1" si="296"/>
        <v>0</v>
      </c>
      <c r="N556" s="256">
        <f t="shared" ca="1" si="296"/>
        <v>0</v>
      </c>
      <c r="O556" s="256">
        <f t="shared" ca="1" si="296"/>
        <v>0</v>
      </c>
      <c r="P556" s="256">
        <f t="shared" ca="1" si="296"/>
        <v>0</v>
      </c>
      <c r="Q556" s="256">
        <f t="shared" ca="1" si="296"/>
        <v>0</v>
      </c>
      <c r="R556" s="256">
        <f t="shared" ca="1" si="296"/>
        <v>0</v>
      </c>
      <c r="S556" s="256">
        <f t="shared" ca="1" si="296"/>
        <v>0</v>
      </c>
      <c r="T556" s="256">
        <f t="shared" ca="1" si="296"/>
        <v>0</v>
      </c>
      <c r="U556" s="256">
        <f t="shared" ca="1" si="296"/>
        <v>0</v>
      </c>
      <c r="V556" s="256">
        <f t="shared" ca="1" si="296"/>
        <v>0</v>
      </c>
      <c r="W556" s="256">
        <f t="shared" ca="1" si="296"/>
        <v>0</v>
      </c>
      <c r="X556" s="256">
        <f t="shared" ca="1" si="296"/>
        <v>0</v>
      </c>
      <c r="Y556" s="256">
        <f t="shared" ca="1" si="296"/>
        <v>0</v>
      </c>
      <c r="Z556" s="256">
        <f t="shared" ca="1" si="296"/>
        <v>119.6024360391926</v>
      </c>
      <c r="AA556" s="256">
        <f t="shared" ca="1" si="296"/>
        <v>0</v>
      </c>
      <c r="AB556" s="256">
        <f t="shared" ca="1" si="296"/>
        <v>0</v>
      </c>
      <c r="AC556" s="256">
        <f t="shared" ca="1" si="296"/>
        <v>0</v>
      </c>
      <c r="AD556" s="256">
        <f t="shared" ca="1" si="296"/>
        <v>0</v>
      </c>
      <c r="AE556" s="256">
        <f t="shared" ca="1" si="296"/>
        <v>0</v>
      </c>
      <c r="AF556" s="256">
        <f t="shared" ca="1" si="296"/>
        <v>0</v>
      </c>
      <c r="AG556" s="256">
        <f t="shared" ca="1" si="296"/>
        <v>0</v>
      </c>
      <c r="AH556" s="256">
        <f t="shared" ca="1" si="296"/>
        <v>0</v>
      </c>
      <c r="AI556" s="256">
        <f t="shared" ca="1" si="296"/>
        <v>0</v>
      </c>
      <c r="AJ556" s="256">
        <f t="shared" ca="1" si="296"/>
        <v>0</v>
      </c>
      <c r="AK556" s="256">
        <f t="shared" ca="1" si="296"/>
        <v>0</v>
      </c>
      <c r="AL556" s="256">
        <f t="shared" ca="1" si="296"/>
        <v>0</v>
      </c>
    </row>
    <row r="557" spans="1:38" outlineLevel="1" x14ac:dyDescent="0.2">
      <c r="B557" s="312" t="s">
        <v>67</v>
      </c>
      <c r="C557" s="260" t="s">
        <v>67</v>
      </c>
      <c r="D557" s="260" t="s">
        <v>67</v>
      </c>
    </row>
    <row r="558" spans="1:38" outlineLevel="1" x14ac:dyDescent="0.2">
      <c r="B558" s="239" t="s">
        <v>338</v>
      </c>
      <c r="C558" s="247" t="s">
        <v>37</v>
      </c>
      <c r="D558" s="314">
        <f ca="1">SUM(D555:D557)</f>
        <v>173.26542246003396</v>
      </c>
    </row>
    <row r="559" spans="1:38" outlineLevel="1" x14ac:dyDescent="0.2">
      <c r="B559" s="234" t="s">
        <v>339</v>
      </c>
      <c r="C559" s="205" t="s">
        <v>37</v>
      </c>
      <c r="D559" s="313">
        <f ca="1">-_xlfn.XLOOKUP($D$514,$8:$8,$439:$439)</f>
        <v>-20.361430770409122</v>
      </c>
    </row>
    <row r="560" spans="1:38" outlineLevel="1" x14ac:dyDescent="0.2">
      <c r="B560" s="312" t="s">
        <v>67</v>
      </c>
      <c r="C560" s="260" t="s">
        <v>67</v>
      </c>
      <c r="D560" s="260" t="s">
        <v>67</v>
      </c>
    </row>
    <row r="561" spans="2:4" outlineLevel="1" x14ac:dyDescent="0.2">
      <c r="B561" s="239" t="s">
        <v>340</v>
      </c>
      <c r="C561" s="247" t="s">
        <v>37</v>
      </c>
      <c r="D561" s="314">
        <f ca="1">SUM(D558:D560)</f>
        <v>152.90399168962483</v>
      </c>
    </row>
    <row r="562" spans="2:4" outlineLevel="1" x14ac:dyDescent="0.2">
      <c r="B562" s="234" t="s">
        <v>341</v>
      </c>
      <c r="C562" s="205" t="s">
        <v>37</v>
      </c>
      <c r="D562" s="313">
        <f>D582</f>
        <v>107.45011200000003</v>
      </c>
    </row>
    <row r="563" spans="2:4" outlineLevel="1" x14ac:dyDescent="0.2">
      <c r="B563" s="312" t="s">
        <v>67</v>
      </c>
      <c r="C563" s="260" t="s">
        <v>67</v>
      </c>
      <c r="D563" s="260" t="s">
        <v>67</v>
      </c>
    </row>
    <row r="564" spans="2:4" outlineLevel="1" x14ac:dyDescent="0.2">
      <c r="B564" s="239" t="s">
        <v>342</v>
      </c>
      <c r="C564" s="247" t="s">
        <v>37</v>
      </c>
      <c r="D564" s="314">
        <f ca="1">SUM(D561:D563)</f>
        <v>260.35410368962488</v>
      </c>
    </row>
    <row r="565" spans="2:4" outlineLevel="1" x14ac:dyDescent="0.2">
      <c r="B565" s="234" t="s">
        <v>343</v>
      </c>
      <c r="C565" s="205" t="s">
        <v>344</v>
      </c>
      <c r="D565" s="313">
        <f ca="1">_xlfn.XLOOKUP($D$514,$8:$8,$500:$500)</f>
        <v>1054.306313</v>
      </c>
    </row>
    <row r="566" spans="2:4" ht="12" customHeight="1" outlineLevel="1" thickBot="1" x14ac:dyDescent="0.25">
      <c r="B566" s="234" t="s">
        <v>345</v>
      </c>
      <c r="C566" s="205" t="s">
        <v>344</v>
      </c>
      <c r="D566" s="313">
        <f ca="1">_xlfn.XLOOKUP($D$514,$8:$8,$505:$505)</f>
        <v>1054.306313</v>
      </c>
    </row>
    <row r="567" spans="2:4" ht="12" customHeight="1" outlineLevel="1" thickBot="1" x14ac:dyDescent="0.25">
      <c r="B567" s="239" t="s">
        <v>346</v>
      </c>
      <c r="C567" s="247" t="s">
        <v>268</v>
      </c>
      <c r="D567" s="315">
        <f ca="1">D564/D566</f>
        <v>0.24694351203190118</v>
      </c>
    </row>
    <row r="568" spans="2:4" outlineLevel="1" x14ac:dyDescent="0.2">
      <c r="B568" s="234"/>
      <c r="C568" s="247"/>
      <c r="D568" s="418"/>
    </row>
    <row r="569" spans="2:4" outlineLevel="1" x14ac:dyDescent="0.2">
      <c r="B569" s="234"/>
      <c r="C569" s="247"/>
      <c r="D569" s="418"/>
    </row>
    <row r="570" spans="2:4" outlineLevel="1" x14ac:dyDescent="0.2">
      <c r="B570" s="246" t="s">
        <v>341</v>
      </c>
      <c r="C570" s="247"/>
      <c r="D570" s="418"/>
    </row>
    <row r="571" spans="2:4" outlineLevel="1" x14ac:dyDescent="0.2">
      <c r="B571" s="263" t="s">
        <v>447</v>
      </c>
      <c r="C571" s="205" t="s">
        <v>37</v>
      </c>
      <c r="D571" s="588">
        <v>0.94</v>
      </c>
    </row>
    <row r="572" spans="2:4" outlineLevel="1" x14ac:dyDescent="0.2">
      <c r="B572" s="263" t="s">
        <v>343</v>
      </c>
      <c r="C572" s="205" t="s">
        <v>344</v>
      </c>
      <c r="D572" s="313">
        <v>347.6</v>
      </c>
    </row>
    <row r="573" spans="2:4" outlineLevel="1" x14ac:dyDescent="0.2">
      <c r="B573" s="263" t="s">
        <v>1313</v>
      </c>
      <c r="C573" s="205" t="s">
        <v>39</v>
      </c>
      <c r="D573" s="589">
        <v>0.27600000000000002</v>
      </c>
    </row>
    <row r="574" spans="2:4" outlineLevel="1" x14ac:dyDescent="0.2">
      <c r="B574" s="272" t="s">
        <v>1314</v>
      </c>
      <c r="C574" s="247" t="s">
        <v>37</v>
      </c>
      <c r="D574" s="314">
        <f>D571*D572*D573</f>
        <v>90.18134400000001</v>
      </c>
    </row>
    <row r="575" spans="2:4" outlineLevel="1" x14ac:dyDescent="0.2">
      <c r="B575" s="234"/>
      <c r="D575" s="588"/>
    </row>
    <row r="576" spans="2:4" outlineLevel="1" x14ac:dyDescent="0.2">
      <c r="B576" s="263" t="s">
        <v>1312</v>
      </c>
      <c r="C576" s="205" t="s">
        <v>37</v>
      </c>
      <c r="D576" s="588">
        <v>1.1200000000000001</v>
      </c>
    </row>
    <row r="577" spans="2:4" outlineLevel="1" x14ac:dyDescent="0.2">
      <c r="B577" s="263" t="s">
        <v>343</v>
      </c>
      <c r="C577" s="205" t="s">
        <v>344</v>
      </c>
      <c r="D577" s="313">
        <v>347.6</v>
      </c>
    </row>
    <row r="578" spans="2:4" x14ac:dyDescent="0.2">
      <c r="B578" s="263" t="s">
        <v>1313</v>
      </c>
      <c r="C578" s="205" t="s">
        <v>39</v>
      </c>
      <c r="D578" s="589">
        <v>0.27600000000000002</v>
      </c>
    </row>
    <row r="579" spans="2:4" s="237" customFormat="1" outlineLevel="1" x14ac:dyDescent="0.2">
      <c r="B579" s="272" t="s">
        <v>1315</v>
      </c>
      <c r="C579" s="247" t="s">
        <v>37</v>
      </c>
      <c r="D579" s="314">
        <f>D576*D577*D578</f>
        <v>107.45011200000003</v>
      </c>
    </row>
    <row r="580" spans="2:4" outlineLevel="1" x14ac:dyDescent="0.2">
      <c r="B580" s="234"/>
    </row>
    <row r="581" spans="2:4" ht="12" outlineLevel="1" thickBot="1" x14ac:dyDescent="0.25">
      <c r="B581" s="263" t="s">
        <v>1317</v>
      </c>
      <c r="C581" s="205" t="s">
        <v>1316</v>
      </c>
      <c r="D581" s="220">
        <v>1</v>
      </c>
    </row>
    <row r="582" spans="2:4" ht="12" outlineLevel="1" thickBot="1" x14ac:dyDescent="0.25">
      <c r="B582" s="272" t="s">
        <v>341</v>
      </c>
      <c r="C582" s="205" t="s">
        <v>37</v>
      </c>
      <c r="D582" s="590" cm="1">
        <f t="array" ref="D582">_xlfn.IFS(D581=0,D574,D581=1,D579)</f>
        <v>107.45011200000003</v>
      </c>
    </row>
    <row r="583" spans="2:4" outlineLevel="1" x14ac:dyDescent="0.2">
      <c r="B583" s="234"/>
    </row>
    <row r="584" spans="2:4" outlineLevel="1" x14ac:dyDescent="0.2">
      <c r="B584" s="246" t="s">
        <v>347</v>
      </c>
      <c r="C584" s="218"/>
    </row>
    <row r="585" spans="2:4" outlineLevel="1" x14ac:dyDescent="0.2">
      <c r="B585" s="239" t="s">
        <v>348</v>
      </c>
      <c r="D585" s="205"/>
    </row>
    <row r="586" spans="2:4" outlineLevel="1" x14ac:dyDescent="0.2">
      <c r="B586" s="263" t="s">
        <v>349</v>
      </c>
      <c r="C586" s="205" t="s">
        <v>350</v>
      </c>
      <c r="D586" s="220" t="s">
        <v>351</v>
      </c>
    </row>
    <row r="587" spans="2:4" outlineLevel="1" x14ac:dyDescent="0.2">
      <c r="B587" s="234" t="s">
        <v>75</v>
      </c>
      <c r="C587" s="205" t="s">
        <v>37</v>
      </c>
      <c r="D587" s="313">
        <f>_xlfn.XLOOKUP($D$586,FY!$6:$6,FY!$75:$75)</f>
        <v>21.580367708525142</v>
      </c>
    </row>
    <row r="588" spans="2:4" outlineLevel="1" x14ac:dyDescent="0.2">
      <c r="B588" s="234" t="s">
        <v>352</v>
      </c>
      <c r="C588" s="205" t="s">
        <v>254</v>
      </c>
      <c r="D588" s="473">
        <v>10</v>
      </c>
    </row>
    <row r="589" spans="2:4" outlineLevel="1" x14ac:dyDescent="0.2">
      <c r="B589" s="239" t="s">
        <v>338</v>
      </c>
      <c r="C589" s="247" t="s">
        <v>37</v>
      </c>
      <c r="D589" s="314">
        <f>D587*D588</f>
        <v>215.80367708525142</v>
      </c>
    </row>
    <row r="590" spans="2:4" outlineLevel="1" x14ac:dyDescent="0.2">
      <c r="B590" s="234" t="s">
        <v>339</v>
      </c>
      <c r="C590" s="205" t="s">
        <v>37</v>
      </c>
      <c r="D590" s="313">
        <f ca="1">D559</f>
        <v>-20.361430770409122</v>
      </c>
    </row>
    <row r="591" spans="2:4" outlineLevel="1" x14ac:dyDescent="0.2">
      <c r="B591" s="234" t="s">
        <v>341</v>
      </c>
      <c r="C591" s="205" t="s">
        <v>37</v>
      </c>
      <c r="D591" s="313">
        <f>D582</f>
        <v>107.45011200000003</v>
      </c>
    </row>
    <row r="592" spans="2:4" outlineLevel="1" x14ac:dyDescent="0.2">
      <c r="B592" s="312" t="s">
        <v>67</v>
      </c>
      <c r="C592" s="260" t="s">
        <v>67</v>
      </c>
      <c r="D592" s="260" t="s">
        <v>67</v>
      </c>
    </row>
    <row r="593" spans="2:4" outlineLevel="1" x14ac:dyDescent="0.2">
      <c r="B593" s="239" t="s">
        <v>342</v>
      </c>
      <c r="C593" s="247" t="s">
        <v>37</v>
      </c>
      <c r="D593" s="314">
        <f ca="1">SUM(D589:D592)</f>
        <v>302.89235831484234</v>
      </c>
    </row>
    <row r="594" spans="2:4" ht="12" customHeight="1" outlineLevel="1" thickBot="1" x14ac:dyDescent="0.25">
      <c r="B594" s="234" t="s">
        <v>345</v>
      </c>
      <c r="C594" s="205" t="s">
        <v>344</v>
      </c>
      <c r="D594" s="313">
        <f ca="1">_xlfn.XLOOKUP($D$514,$8:$8,$505:$505)</f>
        <v>1054.306313</v>
      </c>
    </row>
    <row r="595" spans="2:4" ht="12" customHeight="1" outlineLevel="1" thickBot="1" x14ac:dyDescent="0.25">
      <c r="B595" s="239" t="s">
        <v>346</v>
      </c>
      <c r="C595" s="247" t="s">
        <v>268</v>
      </c>
      <c r="D595" s="315">
        <f ca="1">D593/D594</f>
        <v>0.28729066171762774</v>
      </c>
    </row>
    <row r="596" spans="2:4" outlineLevel="1" x14ac:dyDescent="0.2">
      <c r="B596" s="234"/>
      <c r="D596" s="205"/>
    </row>
    <row r="597" spans="2:4" outlineLevel="1" x14ac:dyDescent="0.2">
      <c r="B597" s="239" t="s">
        <v>353</v>
      </c>
      <c r="D597" s="205"/>
    </row>
    <row r="598" spans="2:4" outlineLevel="1" x14ac:dyDescent="0.2">
      <c r="B598" s="263" t="s">
        <v>349</v>
      </c>
      <c r="C598" s="205" t="s">
        <v>350</v>
      </c>
      <c r="D598" s="220" t="s">
        <v>354</v>
      </c>
    </row>
    <row r="599" spans="2:4" outlineLevel="1" x14ac:dyDescent="0.2">
      <c r="B599" s="234" t="s">
        <v>355</v>
      </c>
      <c r="C599" s="205" t="s">
        <v>37</v>
      </c>
      <c r="D599" s="572">
        <f>_xlfn.XLOOKUP($D$586,FY!$6:$6,FY!$83:$83)</f>
        <v>0.61726717477967652</v>
      </c>
    </row>
    <row r="600" spans="2:4" ht="12" customHeight="1" outlineLevel="1" thickBot="1" x14ac:dyDescent="0.25">
      <c r="B600" s="234" t="s">
        <v>352</v>
      </c>
      <c r="C600" s="205" t="s">
        <v>254</v>
      </c>
      <c r="D600" s="473">
        <v>6</v>
      </c>
    </row>
    <row r="601" spans="2:4" ht="12" customHeight="1" outlineLevel="1" thickBot="1" x14ac:dyDescent="0.25">
      <c r="B601" s="239" t="s">
        <v>346</v>
      </c>
      <c r="C601" s="247" t="s">
        <v>268</v>
      </c>
      <c r="D601" s="315">
        <f>D599*D600</f>
        <v>3.7036030486780591</v>
      </c>
    </row>
    <row r="602" spans="2:4" outlineLevel="1" x14ac:dyDescent="0.2">
      <c r="B602" s="234"/>
      <c r="D602" s="473"/>
    </row>
    <row r="603" spans="2:4" outlineLevel="1" x14ac:dyDescent="0.2">
      <c r="B603" s="246" t="s">
        <v>356</v>
      </c>
      <c r="D603" s="205"/>
    </row>
    <row r="604" spans="2:4" outlineLevel="1" x14ac:dyDescent="0.2">
      <c r="B604" s="239" t="s">
        <v>357</v>
      </c>
      <c r="D604" s="205"/>
    </row>
    <row r="605" spans="2:4" outlineLevel="1" x14ac:dyDescent="0.2">
      <c r="B605" s="234" t="s">
        <v>319</v>
      </c>
      <c r="C605" s="205" t="s">
        <v>39</v>
      </c>
      <c r="D605" s="307">
        <v>0.5</v>
      </c>
    </row>
    <row r="606" spans="2:4" ht="12" customHeight="1" outlineLevel="1" thickBot="1" x14ac:dyDescent="0.25">
      <c r="B606" s="234" t="s">
        <v>358</v>
      </c>
      <c r="C606" s="205" t="s">
        <v>39</v>
      </c>
      <c r="D606" s="307">
        <v>0.5</v>
      </c>
    </row>
    <row r="607" spans="2:4" ht="12" customHeight="1" outlineLevel="1" thickBot="1" x14ac:dyDescent="0.25">
      <c r="B607" s="239" t="s">
        <v>359</v>
      </c>
      <c r="C607" s="247" t="s">
        <v>268</v>
      </c>
      <c r="D607" s="315">
        <f ca="1">ROUND(D567*D605+D595*D606,2)</f>
        <v>0.27</v>
      </c>
    </row>
    <row r="608" spans="2:4" outlineLevel="1" x14ac:dyDescent="0.2">
      <c r="B608" s="234"/>
      <c r="D608" s="205"/>
    </row>
    <row r="609" spans="1:38" outlineLevel="1" x14ac:dyDescent="0.2">
      <c r="B609" s="218" t="e" vm="1">
        <v>#VALUE!</v>
      </c>
      <c r="C609" s="218"/>
    </row>
    <row r="610" spans="1:38" outlineLevel="1" x14ac:dyDescent="0.2">
      <c r="B610" s="239" t="s">
        <v>360</v>
      </c>
      <c r="C610" s="247" t="s">
        <v>268</v>
      </c>
      <c r="D610" s="474">
        <v>0.2</v>
      </c>
    </row>
    <row r="611" spans="1:38" outlineLevel="1" x14ac:dyDescent="0.2">
      <c r="B611" s="234" t="s">
        <v>361</v>
      </c>
      <c r="C611" s="205" t="s">
        <v>39</v>
      </c>
      <c r="D611" s="475">
        <f ca="1">D607/D610-1</f>
        <v>0.35000000000000009</v>
      </c>
    </row>
    <row r="612" spans="1:38" outlineLevel="1" x14ac:dyDescent="0.2"/>
    <row r="614" spans="1:38" hidden="1" outlineLevel="1" x14ac:dyDescent="0.2">
      <c r="A614" s="576" t="s">
        <v>7</v>
      </c>
      <c r="B614" s="577" t="s">
        <v>362</v>
      </c>
    </row>
    <row r="615" spans="1:38" hidden="1" outlineLevel="1" x14ac:dyDescent="0.2"/>
    <row r="616" spans="1:38" hidden="1" outlineLevel="1" x14ac:dyDescent="0.2">
      <c r="B616" s="577" t="s">
        <v>363</v>
      </c>
    </row>
    <row r="617" spans="1:38" hidden="1" outlineLevel="1" x14ac:dyDescent="0.2">
      <c r="B617" s="576" t="s">
        <v>364</v>
      </c>
      <c r="C617" s="576" t="s">
        <v>326</v>
      </c>
      <c r="D617" s="579">
        <v>1</v>
      </c>
    </row>
    <row r="618" spans="1:38" hidden="1" outlineLevel="1" x14ac:dyDescent="0.2">
      <c r="B618" s="576" t="s">
        <v>365</v>
      </c>
      <c r="C618" s="576" t="s">
        <v>37</v>
      </c>
      <c r="D618" s="580">
        <v>0</v>
      </c>
    </row>
    <row r="619" spans="1:38" hidden="1" outlineLevel="1" x14ac:dyDescent="0.2">
      <c r="B619" s="576" t="s">
        <v>366</v>
      </c>
      <c r="C619" s="576" t="s">
        <v>37</v>
      </c>
      <c r="D619" s="580">
        <v>0</v>
      </c>
    </row>
    <row r="620" spans="1:38" hidden="1" outlineLevel="1" x14ac:dyDescent="0.2">
      <c r="B620" s="576" t="s">
        <v>367</v>
      </c>
      <c r="C620" s="576" t="s">
        <v>37</v>
      </c>
      <c r="D620" s="580">
        <v>0</v>
      </c>
    </row>
    <row r="621" spans="1:38" hidden="1" outlineLevel="1" x14ac:dyDescent="0.2">
      <c r="B621" s="577" t="s">
        <v>368</v>
      </c>
      <c r="C621" s="576" t="s">
        <v>37</v>
      </c>
      <c r="D621" s="581">
        <f>CHOOSE(D617,D618,D619,D620)</f>
        <v>0</v>
      </c>
    </row>
    <row r="622" spans="1:38" hidden="1" outlineLevel="1" x14ac:dyDescent="0.2"/>
    <row r="623" spans="1:38" hidden="1" outlineLevel="1" x14ac:dyDescent="0.2">
      <c r="B623" s="577" t="s">
        <v>369</v>
      </c>
    </row>
    <row r="624" spans="1:38" hidden="1" outlineLevel="1" x14ac:dyDescent="0.2">
      <c r="B624" s="576" t="s">
        <v>370</v>
      </c>
      <c r="J624" s="578">
        <f t="shared" ref="J624:AL624" si="297">J119+J120</f>
        <v>-0.60000000000000053</v>
      </c>
      <c r="K624" s="578">
        <f t="shared" si="297"/>
        <v>0.41042384296673795</v>
      </c>
      <c r="L624" s="578">
        <f t="shared" si="297"/>
        <v>5.8915332156846771</v>
      </c>
      <c r="M624" s="578">
        <f t="shared" si="297"/>
        <v>3.5570523261219931</v>
      </c>
      <c r="N624" s="578">
        <f t="shared" si="297"/>
        <v>7.8565794135315725</v>
      </c>
      <c r="O624" s="578">
        <f t="shared" si="297"/>
        <v>5.5431332895709078</v>
      </c>
      <c r="P624" s="578">
        <f t="shared" si="297"/>
        <v>9.7191850054119602</v>
      </c>
      <c r="Q624" s="578">
        <f t="shared" si="297"/>
        <v>7.6008367048306846</v>
      </c>
      <c r="R624" s="578">
        <f t="shared" si="297"/>
        <v>10.417653540596344</v>
      </c>
      <c r="S624" s="578">
        <f t="shared" si="297"/>
        <v>8.7858313706837201</v>
      </c>
      <c r="T624" s="578">
        <f t="shared" si="297"/>
        <v>11.70931551815433</v>
      </c>
      <c r="U624" s="578">
        <f t="shared" si="297"/>
        <v>9.4201930464269346</v>
      </c>
      <c r="V624" s="578">
        <f t="shared" si="297"/>
        <v>12.46936077679182</v>
      </c>
      <c r="W624" s="578">
        <f t="shared" si="297"/>
        <v>10.047715489650006</v>
      </c>
      <c r="X624" s="578">
        <f t="shared" si="297"/>
        <v>13.233063374137316</v>
      </c>
      <c r="Y624" s="578">
        <f t="shared" si="297"/>
        <v>10.676029554914873</v>
      </c>
      <c r="Z624" s="578">
        <f t="shared" si="297"/>
        <v>14.007713024242138</v>
      </c>
      <c r="AA624" s="578">
        <f t="shared" si="297"/>
        <v>11.31151000546239</v>
      </c>
      <c r="AB624" s="578">
        <f t="shared" si="297"/>
        <v>14.799504315753559</v>
      </c>
      <c r="AC624" s="578">
        <f t="shared" si="297"/>
        <v>11.959549409522085</v>
      </c>
      <c r="AD624" s="578">
        <f t="shared" si="297"/>
        <v>15.613782059176287</v>
      </c>
      <c r="AE624" s="578">
        <f t="shared" si="297"/>
        <v>12.624776514880924</v>
      </c>
      <c r="AF624" s="578">
        <f t="shared" si="297"/>
        <v>16.455237208496662</v>
      </c>
      <c r="AG624" s="578">
        <f t="shared" si="297"/>
        <v>13.311230554962783</v>
      </c>
      <c r="AH624" s="578">
        <f t="shared" si="297"/>
        <v>17.328063568559941</v>
      </c>
      <c r="AI624" s="578">
        <f t="shared" si="297"/>
        <v>14.022500587116395</v>
      </c>
      <c r="AJ624" s="578">
        <f t="shared" si="297"/>
        <v>18.236083402901066</v>
      </c>
      <c r="AK624" s="578">
        <f t="shared" si="297"/>
        <v>14.761837094981821</v>
      </c>
      <c r="AL624" s="578">
        <f t="shared" si="297"/>
        <v>19.182848391198593</v>
      </c>
    </row>
    <row r="625" spans="2:38" hidden="1" outlineLevel="1" x14ac:dyDescent="0.2">
      <c r="B625" s="576" t="s">
        <v>371</v>
      </c>
      <c r="J625" s="578">
        <f>$D$621</f>
        <v>0</v>
      </c>
      <c r="K625" s="578">
        <f t="shared" ref="K625:AL625" si="298">J628</f>
        <v>0.60000000000000053</v>
      </c>
      <c r="L625" s="578">
        <f t="shared" si="298"/>
        <v>0.18957615703326258</v>
      </c>
      <c r="M625" s="578">
        <f t="shared" si="298"/>
        <v>0</v>
      </c>
      <c r="N625" s="578">
        <f t="shared" si="298"/>
        <v>0</v>
      </c>
      <c r="O625" s="578">
        <f t="shared" si="298"/>
        <v>0</v>
      </c>
      <c r="P625" s="578">
        <f t="shared" si="298"/>
        <v>0</v>
      </c>
      <c r="Q625" s="578">
        <f t="shared" si="298"/>
        <v>0</v>
      </c>
      <c r="R625" s="578">
        <f t="shared" si="298"/>
        <v>0</v>
      </c>
      <c r="S625" s="578">
        <f t="shared" si="298"/>
        <v>0</v>
      </c>
      <c r="T625" s="578">
        <f t="shared" si="298"/>
        <v>0</v>
      </c>
      <c r="U625" s="578">
        <f t="shared" si="298"/>
        <v>0</v>
      </c>
      <c r="V625" s="578">
        <f t="shared" si="298"/>
        <v>0</v>
      </c>
      <c r="W625" s="578">
        <f t="shared" si="298"/>
        <v>0</v>
      </c>
      <c r="X625" s="578">
        <f t="shared" si="298"/>
        <v>0</v>
      </c>
      <c r="Y625" s="578">
        <f t="shared" si="298"/>
        <v>0</v>
      </c>
      <c r="Z625" s="578">
        <f t="shared" si="298"/>
        <v>0</v>
      </c>
      <c r="AA625" s="578">
        <f t="shared" si="298"/>
        <v>0</v>
      </c>
      <c r="AB625" s="578">
        <f t="shared" si="298"/>
        <v>0</v>
      </c>
      <c r="AC625" s="578">
        <f t="shared" si="298"/>
        <v>0</v>
      </c>
      <c r="AD625" s="578">
        <f t="shared" si="298"/>
        <v>0</v>
      </c>
      <c r="AE625" s="578">
        <f t="shared" si="298"/>
        <v>0</v>
      </c>
      <c r="AF625" s="578">
        <f t="shared" si="298"/>
        <v>0</v>
      </c>
      <c r="AG625" s="578">
        <f t="shared" si="298"/>
        <v>0</v>
      </c>
      <c r="AH625" s="578">
        <f t="shared" si="298"/>
        <v>0</v>
      </c>
      <c r="AI625" s="578">
        <f t="shared" si="298"/>
        <v>0</v>
      </c>
      <c r="AJ625" s="578">
        <f t="shared" si="298"/>
        <v>0</v>
      </c>
      <c r="AK625" s="578">
        <f t="shared" si="298"/>
        <v>0</v>
      </c>
      <c r="AL625" s="578">
        <f t="shared" si="298"/>
        <v>0</v>
      </c>
    </row>
    <row r="626" spans="2:38" hidden="1" outlineLevel="1" x14ac:dyDescent="0.2">
      <c r="B626" s="576" t="s">
        <v>372</v>
      </c>
      <c r="J626" s="578">
        <f t="shared" ref="J626:AL626" si="299">MAX(0,-J624)</f>
        <v>0.60000000000000053</v>
      </c>
      <c r="K626" s="578">
        <f t="shared" si="299"/>
        <v>0</v>
      </c>
      <c r="L626" s="578">
        <f t="shared" si="299"/>
        <v>0</v>
      </c>
      <c r="M626" s="578">
        <f t="shared" si="299"/>
        <v>0</v>
      </c>
      <c r="N626" s="578">
        <f t="shared" si="299"/>
        <v>0</v>
      </c>
      <c r="O626" s="578">
        <f t="shared" si="299"/>
        <v>0</v>
      </c>
      <c r="P626" s="578">
        <f t="shared" si="299"/>
        <v>0</v>
      </c>
      <c r="Q626" s="578">
        <f t="shared" si="299"/>
        <v>0</v>
      </c>
      <c r="R626" s="578">
        <f t="shared" si="299"/>
        <v>0</v>
      </c>
      <c r="S626" s="578">
        <f t="shared" si="299"/>
        <v>0</v>
      </c>
      <c r="T626" s="578">
        <f t="shared" si="299"/>
        <v>0</v>
      </c>
      <c r="U626" s="578">
        <f t="shared" si="299"/>
        <v>0</v>
      </c>
      <c r="V626" s="578">
        <f t="shared" si="299"/>
        <v>0</v>
      </c>
      <c r="W626" s="578">
        <f t="shared" si="299"/>
        <v>0</v>
      </c>
      <c r="X626" s="578">
        <f t="shared" si="299"/>
        <v>0</v>
      </c>
      <c r="Y626" s="578">
        <f t="shared" si="299"/>
        <v>0</v>
      </c>
      <c r="Z626" s="578">
        <f t="shared" si="299"/>
        <v>0</v>
      </c>
      <c r="AA626" s="578">
        <f t="shared" si="299"/>
        <v>0</v>
      </c>
      <c r="AB626" s="578">
        <f t="shared" si="299"/>
        <v>0</v>
      </c>
      <c r="AC626" s="578">
        <f t="shared" si="299"/>
        <v>0</v>
      </c>
      <c r="AD626" s="578">
        <f t="shared" si="299"/>
        <v>0</v>
      </c>
      <c r="AE626" s="578">
        <f t="shared" si="299"/>
        <v>0</v>
      </c>
      <c r="AF626" s="578">
        <f t="shared" si="299"/>
        <v>0</v>
      </c>
      <c r="AG626" s="578">
        <f t="shared" si="299"/>
        <v>0</v>
      </c>
      <c r="AH626" s="578">
        <f t="shared" si="299"/>
        <v>0</v>
      </c>
      <c r="AI626" s="578">
        <f t="shared" si="299"/>
        <v>0</v>
      </c>
      <c r="AJ626" s="578">
        <f t="shared" si="299"/>
        <v>0</v>
      </c>
      <c r="AK626" s="578">
        <f t="shared" si="299"/>
        <v>0</v>
      </c>
      <c r="AL626" s="578">
        <f t="shared" si="299"/>
        <v>0</v>
      </c>
    </row>
    <row r="627" spans="2:38" hidden="1" outlineLevel="1" x14ac:dyDescent="0.2">
      <c r="B627" s="576" t="s">
        <v>373</v>
      </c>
      <c r="J627" s="578">
        <f t="shared" ref="J627:AL627" si="300">MIN(J625+J626,MAX(0,J624))</f>
        <v>0</v>
      </c>
      <c r="K627" s="578">
        <f t="shared" si="300"/>
        <v>0.41042384296673795</v>
      </c>
      <c r="L627" s="578">
        <f t="shared" si="300"/>
        <v>0.18957615703326258</v>
      </c>
      <c r="M627" s="578">
        <f t="shared" si="300"/>
        <v>0</v>
      </c>
      <c r="N627" s="578">
        <f t="shared" si="300"/>
        <v>0</v>
      </c>
      <c r="O627" s="578">
        <f t="shared" si="300"/>
        <v>0</v>
      </c>
      <c r="P627" s="578">
        <f t="shared" si="300"/>
        <v>0</v>
      </c>
      <c r="Q627" s="578">
        <f t="shared" si="300"/>
        <v>0</v>
      </c>
      <c r="R627" s="578">
        <f t="shared" si="300"/>
        <v>0</v>
      </c>
      <c r="S627" s="578">
        <f t="shared" si="300"/>
        <v>0</v>
      </c>
      <c r="T627" s="578">
        <f t="shared" si="300"/>
        <v>0</v>
      </c>
      <c r="U627" s="578">
        <f t="shared" si="300"/>
        <v>0</v>
      </c>
      <c r="V627" s="578">
        <f t="shared" si="300"/>
        <v>0</v>
      </c>
      <c r="W627" s="578">
        <f t="shared" si="300"/>
        <v>0</v>
      </c>
      <c r="X627" s="578">
        <f t="shared" si="300"/>
        <v>0</v>
      </c>
      <c r="Y627" s="578">
        <f t="shared" si="300"/>
        <v>0</v>
      </c>
      <c r="Z627" s="578">
        <f t="shared" si="300"/>
        <v>0</v>
      </c>
      <c r="AA627" s="578">
        <f t="shared" si="300"/>
        <v>0</v>
      </c>
      <c r="AB627" s="578">
        <f t="shared" si="300"/>
        <v>0</v>
      </c>
      <c r="AC627" s="578">
        <f t="shared" si="300"/>
        <v>0</v>
      </c>
      <c r="AD627" s="578">
        <f t="shared" si="300"/>
        <v>0</v>
      </c>
      <c r="AE627" s="578">
        <f t="shared" si="300"/>
        <v>0</v>
      </c>
      <c r="AF627" s="578">
        <f t="shared" si="300"/>
        <v>0</v>
      </c>
      <c r="AG627" s="578">
        <f t="shared" si="300"/>
        <v>0</v>
      </c>
      <c r="AH627" s="578">
        <f t="shared" si="300"/>
        <v>0</v>
      </c>
      <c r="AI627" s="578">
        <f t="shared" si="300"/>
        <v>0</v>
      </c>
      <c r="AJ627" s="578">
        <f t="shared" si="300"/>
        <v>0</v>
      </c>
      <c r="AK627" s="578">
        <f t="shared" si="300"/>
        <v>0</v>
      </c>
      <c r="AL627" s="578">
        <f t="shared" si="300"/>
        <v>0</v>
      </c>
    </row>
    <row r="628" spans="2:38" hidden="1" outlineLevel="1" x14ac:dyDescent="0.2">
      <c r="B628" s="576" t="s">
        <v>374</v>
      </c>
      <c r="J628" s="578">
        <f t="shared" ref="J628:AL628" si="301">J625+J626-J627</f>
        <v>0.60000000000000053</v>
      </c>
      <c r="K628" s="578">
        <f t="shared" si="301"/>
        <v>0.18957615703326258</v>
      </c>
      <c r="L628" s="578">
        <f t="shared" si="301"/>
        <v>0</v>
      </c>
      <c r="M628" s="578">
        <f t="shared" si="301"/>
        <v>0</v>
      </c>
      <c r="N628" s="578">
        <f t="shared" si="301"/>
        <v>0</v>
      </c>
      <c r="O628" s="578">
        <f t="shared" si="301"/>
        <v>0</v>
      </c>
      <c r="P628" s="578">
        <f t="shared" si="301"/>
        <v>0</v>
      </c>
      <c r="Q628" s="578">
        <f t="shared" si="301"/>
        <v>0</v>
      </c>
      <c r="R628" s="578">
        <f t="shared" si="301"/>
        <v>0</v>
      </c>
      <c r="S628" s="578">
        <f t="shared" si="301"/>
        <v>0</v>
      </c>
      <c r="T628" s="578">
        <f t="shared" si="301"/>
        <v>0</v>
      </c>
      <c r="U628" s="578">
        <f t="shared" si="301"/>
        <v>0</v>
      </c>
      <c r="V628" s="578">
        <f t="shared" si="301"/>
        <v>0</v>
      </c>
      <c r="W628" s="578">
        <f t="shared" si="301"/>
        <v>0</v>
      </c>
      <c r="X628" s="578">
        <f t="shared" si="301"/>
        <v>0</v>
      </c>
      <c r="Y628" s="578">
        <f t="shared" si="301"/>
        <v>0</v>
      </c>
      <c r="Z628" s="578">
        <f t="shared" si="301"/>
        <v>0</v>
      </c>
      <c r="AA628" s="578">
        <f t="shared" si="301"/>
        <v>0</v>
      </c>
      <c r="AB628" s="578">
        <f t="shared" si="301"/>
        <v>0</v>
      </c>
      <c r="AC628" s="578">
        <f t="shared" si="301"/>
        <v>0</v>
      </c>
      <c r="AD628" s="578">
        <f t="shared" si="301"/>
        <v>0</v>
      </c>
      <c r="AE628" s="578">
        <f t="shared" si="301"/>
        <v>0</v>
      </c>
      <c r="AF628" s="578">
        <f t="shared" si="301"/>
        <v>0</v>
      </c>
      <c r="AG628" s="578">
        <f t="shared" si="301"/>
        <v>0</v>
      </c>
      <c r="AH628" s="578">
        <f t="shared" si="301"/>
        <v>0</v>
      </c>
      <c r="AI628" s="578">
        <f t="shared" si="301"/>
        <v>0</v>
      </c>
      <c r="AJ628" s="578">
        <f t="shared" si="301"/>
        <v>0</v>
      </c>
      <c r="AK628" s="578">
        <f t="shared" si="301"/>
        <v>0</v>
      </c>
      <c r="AL628" s="578">
        <f t="shared" si="301"/>
        <v>0</v>
      </c>
    </row>
    <row r="629" spans="2:38" hidden="1" outlineLevel="1" x14ac:dyDescent="0.2">
      <c r="B629" s="576" t="s">
        <v>375</v>
      </c>
      <c r="J629" s="578">
        <f t="shared" ref="J629:AL629" si="302">MAX(0,J624)-J627</f>
        <v>0</v>
      </c>
      <c r="K629" s="578">
        <f t="shared" si="302"/>
        <v>0</v>
      </c>
      <c r="L629" s="578">
        <f t="shared" si="302"/>
        <v>5.7019570586514146</v>
      </c>
      <c r="M629" s="578">
        <f t="shared" si="302"/>
        <v>3.5570523261219931</v>
      </c>
      <c r="N629" s="578">
        <f t="shared" si="302"/>
        <v>7.8565794135315725</v>
      </c>
      <c r="O629" s="578">
        <f t="shared" si="302"/>
        <v>5.5431332895709078</v>
      </c>
      <c r="P629" s="578">
        <f t="shared" si="302"/>
        <v>9.7191850054119602</v>
      </c>
      <c r="Q629" s="578">
        <f t="shared" si="302"/>
        <v>7.6008367048306846</v>
      </c>
      <c r="R629" s="578">
        <f t="shared" si="302"/>
        <v>10.417653540596344</v>
      </c>
      <c r="S629" s="578">
        <f t="shared" si="302"/>
        <v>8.7858313706837201</v>
      </c>
      <c r="T629" s="578">
        <f t="shared" si="302"/>
        <v>11.70931551815433</v>
      </c>
      <c r="U629" s="578">
        <f t="shared" si="302"/>
        <v>9.4201930464269346</v>
      </c>
      <c r="V629" s="578">
        <f t="shared" si="302"/>
        <v>12.46936077679182</v>
      </c>
      <c r="W629" s="578">
        <f t="shared" si="302"/>
        <v>10.047715489650006</v>
      </c>
      <c r="X629" s="578">
        <f t="shared" si="302"/>
        <v>13.233063374137316</v>
      </c>
      <c r="Y629" s="578">
        <f t="shared" si="302"/>
        <v>10.676029554914873</v>
      </c>
      <c r="Z629" s="578">
        <f t="shared" si="302"/>
        <v>14.007713024242138</v>
      </c>
      <c r="AA629" s="578">
        <f t="shared" si="302"/>
        <v>11.31151000546239</v>
      </c>
      <c r="AB629" s="578">
        <f t="shared" si="302"/>
        <v>14.799504315753559</v>
      </c>
      <c r="AC629" s="578">
        <f t="shared" si="302"/>
        <v>11.959549409522085</v>
      </c>
      <c r="AD629" s="578">
        <f t="shared" si="302"/>
        <v>15.613782059176287</v>
      </c>
      <c r="AE629" s="578">
        <f t="shared" si="302"/>
        <v>12.624776514880924</v>
      </c>
      <c r="AF629" s="578">
        <f t="shared" si="302"/>
        <v>16.455237208496662</v>
      </c>
      <c r="AG629" s="578">
        <f t="shared" si="302"/>
        <v>13.311230554962783</v>
      </c>
      <c r="AH629" s="578">
        <f t="shared" si="302"/>
        <v>17.328063568559941</v>
      </c>
      <c r="AI629" s="578">
        <f t="shared" si="302"/>
        <v>14.022500587116395</v>
      </c>
      <c r="AJ629" s="578">
        <f t="shared" si="302"/>
        <v>18.236083402901066</v>
      </c>
      <c r="AK629" s="578">
        <f t="shared" si="302"/>
        <v>14.761837094981821</v>
      </c>
      <c r="AL629" s="578">
        <f t="shared" si="302"/>
        <v>19.182848391198593</v>
      </c>
    </row>
    <row r="630" spans="2:38" hidden="1" outlineLevel="1" x14ac:dyDescent="0.2">
      <c r="B630" s="577" t="s">
        <v>376</v>
      </c>
      <c r="J630" s="578">
        <f t="shared" ref="J630:AL630" si="303">-J629*$D$519</f>
        <v>0</v>
      </c>
      <c r="K630" s="578">
        <f t="shared" si="303"/>
        <v>0</v>
      </c>
      <c r="L630" s="578">
        <f t="shared" si="303"/>
        <v>-1.7105871175954244</v>
      </c>
      <c r="M630" s="578">
        <f t="shared" si="303"/>
        <v>-1.0671156978365979</v>
      </c>
      <c r="N630" s="578">
        <f t="shared" si="303"/>
        <v>-2.3569738240594718</v>
      </c>
      <c r="O630" s="578">
        <f t="shared" si="303"/>
        <v>-1.6629399868712722</v>
      </c>
      <c r="P630" s="578">
        <f t="shared" si="303"/>
        <v>-2.9157555016235879</v>
      </c>
      <c r="Q630" s="578">
        <f t="shared" si="303"/>
        <v>-2.2802510114492054</v>
      </c>
      <c r="R630" s="578">
        <f t="shared" si="303"/>
        <v>-3.125296062178903</v>
      </c>
      <c r="S630" s="578">
        <f t="shared" si="303"/>
        <v>-2.6357494112051159</v>
      </c>
      <c r="T630" s="578">
        <f t="shared" si="303"/>
        <v>-3.512794655446299</v>
      </c>
      <c r="U630" s="578">
        <f t="shared" si="303"/>
        <v>-2.8260579139280804</v>
      </c>
      <c r="V630" s="578">
        <f t="shared" si="303"/>
        <v>-3.7408082330375461</v>
      </c>
      <c r="W630" s="578">
        <f t="shared" si="303"/>
        <v>-3.0143146468950017</v>
      </c>
      <c r="X630" s="578">
        <f t="shared" si="303"/>
        <v>-3.9699190122411947</v>
      </c>
      <c r="Y630" s="578">
        <f t="shared" si="303"/>
        <v>-3.2028088664744616</v>
      </c>
      <c r="Z630" s="578">
        <f t="shared" si="303"/>
        <v>-4.2023139072726412</v>
      </c>
      <c r="AA630" s="578">
        <f t="shared" si="303"/>
        <v>-3.3934530016387168</v>
      </c>
      <c r="AB630" s="578">
        <f t="shared" si="303"/>
        <v>-4.4398512947260675</v>
      </c>
      <c r="AC630" s="578">
        <f t="shared" si="303"/>
        <v>-3.5878648228566252</v>
      </c>
      <c r="AD630" s="578">
        <f t="shared" si="303"/>
        <v>-4.6841346177528864</v>
      </c>
      <c r="AE630" s="578">
        <f t="shared" si="303"/>
        <v>-3.7874329544642773</v>
      </c>
      <c r="AF630" s="578">
        <f t="shared" si="303"/>
        <v>-4.9365711625489981</v>
      </c>
      <c r="AG630" s="578">
        <f t="shared" si="303"/>
        <v>-3.9933691664888347</v>
      </c>
      <c r="AH630" s="578">
        <f t="shared" si="303"/>
        <v>-5.198419070567982</v>
      </c>
      <c r="AI630" s="578">
        <f t="shared" si="303"/>
        <v>-4.2067501761349186</v>
      </c>
      <c r="AJ630" s="578">
        <f t="shared" si="303"/>
        <v>-5.4708250208703193</v>
      </c>
      <c r="AK630" s="578">
        <f t="shared" si="303"/>
        <v>-4.4285511284945462</v>
      </c>
      <c r="AL630" s="578">
        <f t="shared" si="303"/>
        <v>-5.7548545173595782</v>
      </c>
    </row>
    <row r="631" spans="2:38" hidden="1" outlineLevel="1" x14ac:dyDescent="0.2"/>
    <row r="632" spans="2:38" hidden="1" outlineLevel="1" x14ac:dyDescent="0.2">
      <c r="B632" s="576" t="s">
        <v>377</v>
      </c>
      <c r="D632" s="576" t="str">
        <f>IF(W628&lt;=0.001,"YES - terminal fully taxed","NO - normalise terminal FCFF to full 30% tax")</f>
        <v>YES - terminal fully taxed</v>
      </c>
    </row>
    <row r="633" spans="2:38" collapsed="1" x14ac:dyDescent="0.2"/>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79998168889431442"/>
  </sheetPr>
  <dimension ref="A1:XFC311"/>
  <sheetViews>
    <sheetView showGridLines="0" zoomScale="130" zoomScaleNormal="130" zoomScalePageLayoutView="75" workbookViewId="0">
      <pane xSplit="2" ySplit="7" topLeftCell="C62" activePane="bottomRight" state="frozen"/>
      <selection activeCell="H167" sqref="H167"/>
      <selection pane="topRight" activeCell="H167" sqref="H167"/>
      <selection pane="bottomLeft" activeCell="H167" sqref="H167"/>
      <selection pane="bottomRight" activeCell="J21" sqref="J21"/>
    </sheetView>
  </sheetViews>
  <sheetFormatPr defaultColWidth="0" defaultRowHeight="11.25" outlineLevelRow="1" outlineLevelCol="1" x14ac:dyDescent="0.2"/>
  <cols>
    <col min="1" max="1" width="5.140625" style="316" customWidth="1"/>
    <col min="2" max="2" width="31.42578125" style="316" customWidth="1"/>
    <col min="3" max="3" width="5.7109375" style="317" customWidth="1"/>
    <col min="4" max="4" width="2.7109375" style="316" hidden="1" customWidth="1" outlineLevel="1"/>
    <col min="5" max="7" width="8.140625" style="323" hidden="1" customWidth="1" outlineLevel="1"/>
    <col min="8" max="8" width="8.140625" style="323" bestFit="1" customWidth="1" collapsed="1"/>
    <col min="9" max="10" width="8.140625" style="323" bestFit="1" customWidth="1"/>
    <col min="11" max="17" width="8.140625" style="323" customWidth="1"/>
    <col min="18" max="18" width="9.140625" style="316" hidden="1"/>
    <col min="19" max="16381" width="0" style="316" hidden="1"/>
    <col min="16382" max="16382" width="1.5703125" style="316" hidden="1"/>
    <col min="16383" max="16383" width="1.140625" style="316" hidden="1"/>
    <col min="16384" max="16384" width="4.5703125" style="316" hidden="1"/>
  </cols>
  <sheetData>
    <row r="1" spans="1:17" outlineLevel="1" x14ac:dyDescent="0.2">
      <c r="E1" s="318"/>
      <c r="F1" s="318"/>
      <c r="G1" s="318"/>
      <c r="H1" s="318"/>
      <c r="I1" s="318"/>
      <c r="J1" s="318"/>
      <c r="K1" s="318"/>
      <c r="L1" s="318"/>
      <c r="M1" s="318"/>
      <c r="N1" s="318"/>
      <c r="O1" s="318"/>
      <c r="P1" s="318"/>
      <c r="Q1" s="318"/>
    </row>
    <row r="2" spans="1:17" outlineLevel="1" x14ac:dyDescent="0.2">
      <c r="B2" s="319"/>
      <c r="D2" s="319"/>
      <c r="E2" s="317">
        <v>2022</v>
      </c>
      <c r="F2" s="317">
        <f t="shared" ref="F2:Q2" si="0">E2+1</f>
        <v>2023</v>
      </c>
      <c r="G2" s="317">
        <f t="shared" si="0"/>
        <v>2024</v>
      </c>
      <c r="H2" s="317">
        <f t="shared" si="0"/>
        <v>2025</v>
      </c>
      <c r="I2" s="317">
        <f t="shared" si="0"/>
        <v>2026</v>
      </c>
      <c r="J2" s="317">
        <f t="shared" si="0"/>
        <v>2027</v>
      </c>
      <c r="K2" s="317">
        <f t="shared" si="0"/>
        <v>2028</v>
      </c>
      <c r="L2" s="317">
        <f t="shared" si="0"/>
        <v>2029</v>
      </c>
      <c r="M2" s="317">
        <f t="shared" si="0"/>
        <v>2030</v>
      </c>
      <c r="N2" s="317">
        <f t="shared" si="0"/>
        <v>2031</v>
      </c>
      <c r="O2" s="317">
        <f t="shared" si="0"/>
        <v>2032</v>
      </c>
      <c r="P2" s="317">
        <f t="shared" si="0"/>
        <v>2033</v>
      </c>
      <c r="Q2" s="317">
        <f t="shared" si="0"/>
        <v>2034</v>
      </c>
    </row>
    <row r="3" spans="1:17" outlineLevel="1" x14ac:dyDescent="0.2">
      <c r="B3" s="319"/>
      <c r="D3" s="319"/>
      <c r="E3" s="320" t="s">
        <v>20</v>
      </c>
      <c r="F3" s="320" t="s">
        <v>20</v>
      </c>
      <c r="G3" s="320" t="s">
        <v>20</v>
      </c>
      <c r="H3" s="320" t="s">
        <v>20</v>
      </c>
      <c r="I3" s="320" t="s">
        <v>20</v>
      </c>
      <c r="J3" s="320" t="s">
        <v>21</v>
      </c>
      <c r="K3" s="320" t="s">
        <v>21</v>
      </c>
      <c r="L3" s="320" t="s">
        <v>21</v>
      </c>
      <c r="M3" s="320" t="s">
        <v>21</v>
      </c>
      <c r="N3" s="320" t="s">
        <v>21</v>
      </c>
      <c r="O3" s="320" t="s">
        <v>21</v>
      </c>
      <c r="P3" s="320" t="s">
        <v>21</v>
      </c>
      <c r="Q3" s="320" t="s">
        <v>21</v>
      </c>
    </row>
    <row r="4" spans="1:17" outlineLevel="1" x14ac:dyDescent="0.2">
      <c r="B4" s="319"/>
      <c r="D4" s="319"/>
      <c r="E4" s="317" t="s">
        <v>1190</v>
      </c>
      <c r="F4" s="317" t="s">
        <v>1191</v>
      </c>
      <c r="G4" s="317" t="s">
        <v>1192</v>
      </c>
      <c r="H4" s="317" t="s">
        <v>1193</v>
      </c>
      <c r="I4" s="317" t="s">
        <v>402</v>
      </c>
      <c r="J4" s="317" t="s">
        <v>3</v>
      </c>
      <c r="K4" s="317" t="s">
        <v>403</v>
      </c>
      <c r="L4" s="317" t="s">
        <v>404</v>
      </c>
      <c r="M4" s="317" t="s">
        <v>405</v>
      </c>
      <c r="N4" s="317" t="s">
        <v>1194</v>
      </c>
      <c r="O4" s="317" t="s">
        <v>1195</v>
      </c>
      <c r="P4" s="317" t="s">
        <v>1196</v>
      </c>
      <c r="Q4" s="317" t="s">
        <v>1197</v>
      </c>
    </row>
    <row r="5" spans="1:17" x14ac:dyDescent="0.2">
      <c r="B5" s="319"/>
      <c r="D5" s="319"/>
      <c r="E5" s="317"/>
      <c r="F5" s="317"/>
      <c r="G5" s="317"/>
      <c r="H5" s="317"/>
      <c r="I5" s="317"/>
      <c r="J5" s="317"/>
      <c r="K5" s="317"/>
      <c r="L5" s="317"/>
      <c r="M5" s="317"/>
      <c r="N5" s="317"/>
      <c r="O5" s="317"/>
      <c r="P5" s="317"/>
      <c r="Q5" s="317"/>
    </row>
    <row r="6" spans="1:17" s="505" customFormat="1" x14ac:dyDescent="0.2">
      <c r="C6" s="506" t="s">
        <v>1304</v>
      </c>
      <c r="E6" s="506" t="str">
        <f t="shared" ref="E6:Q6" si="1">E4&amp;E3</f>
        <v>FY22A</v>
      </c>
      <c r="F6" s="506" t="str">
        <f t="shared" si="1"/>
        <v>FY23A</v>
      </c>
      <c r="G6" s="506" t="str">
        <f t="shared" si="1"/>
        <v>FY24A</v>
      </c>
      <c r="H6" s="506" t="str">
        <f t="shared" si="1"/>
        <v>FY25A</v>
      </c>
      <c r="I6" s="506" t="str">
        <f t="shared" si="1"/>
        <v>FY26A</v>
      </c>
      <c r="J6" s="582" t="str">
        <f t="shared" si="1"/>
        <v>FY27E</v>
      </c>
      <c r="K6" s="582" t="str">
        <f t="shared" si="1"/>
        <v>FY28E</v>
      </c>
      <c r="L6" s="582" t="str">
        <f t="shared" si="1"/>
        <v>FY29E</v>
      </c>
      <c r="M6" s="582" t="str">
        <f t="shared" si="1"/>
        <v>FY30E</v>
      </c>
      <c r="N6" s="582" t="str">
        <f t="shared" si="1"/>
        <v>FY31E</v>
      </c>
      <c r="O6" s="582" t="str">
        <f t="shared" si="1"/>
        <v>FY32E</v>
      </c>
      <c r="P6" s="582" t="str">
        <f t="shared" si="1"/>
        <v>FY33E</v>
      </c>
      <c r="Q6" s="582" t="str">
        <f t="shared" si="1"/>
        <v>FY34E</v>
      </c>
    </row>
    <row r="7" spans="1:17" x14ac:dyDescent="0.2">
      <c r="A7" s="324"/>
      <c r="B7" s="206"/>
      <c r="E7" s="321">
        <v>44742</v>
      </c>
      <c r="F7" s="321">
        <f t="shared" ref="F7:Q7" si="2">EOMONTH(E7,12)</f>
        <v>45107</v>
      </c>
      <c r="G7" s="321">
        <f t="shared" si="2"/>
        <v>45473</v>
      </c>
      <c r="H7" s="321">
        <f t="shared" si="2"/>
        <v>45838</v>
      </c>
      <c r="I7" s="321">
        <f t="shared" si="2"/>
        <v>46203</v>
      </c>
      <c r="J7" s="321">
        <f t="shared" si="2"/>
        <v>46568</v>
      </c>
      <c r="K7" s="321">
        <f t="shared" si="2"/>
        <v>46934</v>
      </c>
      <c r="L7" s="321">
        <f t="shared" si="2"/>
        <v>47299</v>
      </c>
      <c r="M7" s="321">
        <f t="shared" si="2"/>
        <v>47664</v>
      </c>
      <c r="N7" s="321">
        <f t="shared" si="2"/>
        <v>48029</v>
      </c>
      <c r="O7" s="321">
        <f t="shared" si="2"/>
        <v>48395</v>
      </c>
      <c r="P7" s="321">
        <f t="shared" si="2"/>
        <v>48760</v>
      </c>
      <c r="Q7" s="321">
        <f t="shared" si="2"/>
        <v>49125</v>
      </c>
    </row>
    <row r="8" spans="1:17" x14ac:dyDescent="0.2">
      <c r="E8" s="322"/>
      <c r="F8" s="322"/>
      <c r="G8" s="322"/>
    </row>
    <row r="9" spans="1:17" s="503" customFormat="1" x14ac:dyDescent="0.2">
      <c r="A9" s="504" t="s">
        <v>7</v>
      </c>
      <c r="B9" s="500" t="s">
        <v>1198</v>
      </c>
      <c r="C9" s="501"/>
      <c r="D9" s="500"/>
      <c r="E9" s="502"/>
      <c r="F9" s="502"/>
      <c r="G9" s="502"/>
      <c r="H9" s="502"/>
      <c r="I9" s="502"/>
      <c r="J9" s="502"/>
      <c r="K9" s="502"/>
      <c r="L9" s="502"/>
      <c r="M9" s="502"/>
      <c r="N9" s="502"/>
      <c r="O9" s="502"/>
      <c r="P9" s="502"/>
      <c r="Q9" s="502"/>
    </row>
    <row r="10" spans="1:17" s="324" customFormat="1" x14ac:dyDescent="0.2">
      <c r="B10" s="331"/>
      <c r="C10" s="332"/>
      <c r="D10" s="331"/>
      <c r="E10" s="333"/>
      <c r="F10" s="333"/>
      <c r="G10" s="333"/>
      <c r="H10" s="333"/>
      <c r="I10" s="333"/>
      <c r="J10" s="333"/>
      <c r="K10" s="333"/>
      <c r="L10" s="333"/>
      <c r="M10" s="333"/>
      <c r="N10" s="333"/>
      <c r="O10" s="333"/>
      <c r="P10" s="333"/>
      <c r="Q10" s="333"/>
    </row>
    <row r="11" spans="1:17" x14ac:dyDescent="0.2">
      <c r="A11" s="324"/>
      <c r="B11" s="465" t="s">
        <v>1175</v>
      </c>
      <c r="C11" s="230"/>
      <c r="D11" s="226"/>
      <c r="E11" s="325"/>
      <c r="F11" s="325"/>
      <c r="G11" s="325"/>
      <c r="H11" s="325"/>
      <c r="I11" s="325"/>
      <c r="J11" s="325"/>
      <c r="K11" s="325"/>
      <c r="L11" s="325"/>
      <c r="M11" s="325"/>
      <c r="N11" s="325"/>
      <c r="O11" s="325"/>
      <c r="P11" s="325"/>
      <c r="Q11" s="325"/>
    </row>
    <row r="12" spans="1:17" s="563" customFormat="1" x14ac:dyDescent="0.2">
      <c r="A12" s="559"/>
      <c r="B12" s="560" t="s">
        <v>35</v>
      </c>
      <c r="C12" s="561"/>
      <c r="D12" s="562"/>
      <c r="E12" s="329"/>
      <c r="F12" s="329"/>
      <c r="G12" s="329">
        <f>SUMIFS(HY!64:64,HY!$14:$14,FY!G$4)</f>
        <v>591.9</v>
      </c>
      <c r="H12" s="329">
        <f>SUMIFS(HY!64:64,HY!$14:$14,FY!H$4)</f>
        <v>1420.4</v>
      </c>
      <c r="I12" s="329">
        <f>SUMIFS(HY!64:64,HY!$14:$14,FY!I$4)</f>
        <v>1594.7</v>
      </c>
      <c r="J12" s="329">
        <f>SUMIFS(HY!64:64,HY!$14:$14,FY!J$4)</f>
        <v>1722.674</v>
      </c>
      <c r="K12" s="329">
        <f>SUMIFS(HY!64:64,HY!$14:$14,FY!K$4)</f>
        <v>1808.8077000000003</v>
      </c>
      <c r="L12" s="329">
        <f>SUMIFS(HY!64:64,HY!$14:$14,FY!L$4)</f>
        <v>1899.2480850000002</v>
      </c>
      <c r="M12" s="329">
        <f>SUMIFS(HY!64:64,HY!$14:$14,FY!M$4)</f>
        <v>1994.2104892500006</v>
      </c>
      <c r="N12" s="329">
        <f>SUMIFS(HY!64:64,HY!$14:$14,FY!N$4)</f>
        <v>2093.9210137125006</v>
      </c>
      <c r="O12" s="329">
        <f>SUMIFS(HY!64:64,HY!$14:$14,FY!O$4)</f>
        <v>2198.6170643981259</v>
      </c>
      <c r="P12" s="329">
        <f>SUMIFS(HY!64:64,HY!$14:$14,FY!P$4)</f>
        <v>2308.547917618032</v>
      </c>
      <c r="Q12" s="329">
        <f>SUMIFS(HY!64:64,HY!$14:$14,FY!Q$4)</f>
        <v>2423.9753134989337</v>
      </c>
    </row>
    <row r="13" spans="1:17" x14ac:dyDescent="0.2">
      <c r="A13" s="324"/>
      <c r="B13" s="226"/>
      <c r="C13" s="230"/>
      <c r="D13" s="226"/>
      <c r="E13" s="466"/>
      <c r="F13" s="466"/>
      <c r="G13" s="466"/>
      <c r="H13" s="466"/>
      <c r="I13" s="466"/>
      <c r="J13" s="466"/>
      <c r="K13" s="466"/>
      <c r="L13" s="466"/>
      <c r="M13" s="466"/>
      <c r="N13" s="466"/>
      <c r="O13" s="466"/>
      <c r="P13" s="466"/>
      <c r="Q13" s="466"/>
    </row>
    <row r="14" spans="1:17" s="563" customFormat="1" x14ac:dyDescent="0.2">
      <c r="A14" s="559"/>
      <c r="B14" s="560" t="s">
        <v>42</v>
      </c>
      <c r="C14" s="561"/>
      <c r="D14" s="562"/>
      <c r="E14" s="329"/>
      <c r="F14" s="329"/>
      <c r="G14" s="329">
        <f>SUMIFS(HY!68:68,HY!$14:$14,FY!G$4)</f>
        <v>79.5</v>
      </c>
      <c r="H14" s="329">
        <f>SUMIFS(HY!68:68,HY!$14:$14,FY!H$4)</f>
        <v>196.2</v>
      </c>
      <c r="I14" s="329">
        <f>SUMIFS(HY!68:68,HY!$14:$14,FY!I$4)</f>
        <v>215.7</v>
      </c>
      <c r="J14" s="329">
        <f>SUMIFS(HY!68:68,HY!$14:$14,FY!J$4)</f>
        <v>242.95042000000001</v>
      </c>
      <c r="K14" s="329">
        <f>SUMIFS(HY!68:68,HY!$14:$14,FY!K$4)</f>
        <v>255.09794100000005</v>
      </c>
      <c r="L14" s="329">
        <f>SUMIFS(HY!68:68,HY!$14:$14,FY!L$4)</f>
        <v>267.85283805000006</v>
      </c>
      <c r="M14" s="329">
        <f>SUMIFS(HY!68:68,HY!$14:$14,FY!M$4)</f>
        <v>281.24547995250009</v>
      </c>
      <c r="N14" s="329">
        <f>SUMIFS(HY!68:68,HY!$14:$14,FY!N$4)</f>
        <v>295.30775395012506</v>
      </c>
      <c r="O14" s="329">
        <f>SUMIFS(HY!68:68,HY!$14:$14,FY!O$4)</f>
        <v>310.07314164763136</v>
      </c>
      <c r="P14" s="329">
        <f>SUMIFS(HY!68:68,HY!$14:$14,FY!P$4)</f>
        <v>325.57679873001291</v>
      </c>
      <c r="Q14" s="329">
        <f>SUMIFS(HY!68:68,HY!$14:$14,FY!Q$4)</f>
        <v>341.85563866651358</v>
      </c>
    </row>
    <row r="15" spans="1:17" s="319" customFormat="1" x14ac:dyDescent="0.2">
      <c r="A15" s="327"/>
      <c r="B15" s="226" t="s">
        <v>1199</v>
      </c>
      <c r="C15" s="468"/>
      <c r="D15" s="410"/>
      <c r="E15" s="467"/>
      <c r="F15" s="467"/>
      <c r="G15" s="469">
        <f t="shared" ref="G15:Q15" si="3">G14/G12</f>
        <v>0.1343132285859098</v>
      </c>
      <c r="H15" s="469">
        <f t="shared" si="3"/>
        <v>0.13813010419600111</v>
      </c>
      <c r="I15" s="469">
        <f t="shared" si="3"/>
        <v>0.13526055057377562</v>
      </c>
      <c r="J15" s="469">
        <f t="shared" si="3"/>
        <v>0.14103099019315321</v>
      </c>
      <c r="K15" s="469">
        <f t="shared" si="3"/>
        <v>0.14103099019315321</v>
      </c>
      <c r="L15" s="469">
        <f t="shared" si="3"/>
        <v>0.14103099019315321</v>
      </c>
      <c r="M15" s="469">
        <f t="shared" si="3"/>
        <v>0.14103099019315321</v>
      </c>
      <c r="N15" s="469">
        <f t="shared" si="3"/>
        <v>0.14103099019315318</v>
      </c>
      <c r="O15" s="469">
        <f t="shared" si="3"/>
        <v>0.14103099019315318</v>
      </c>
      <c r="P15" s="469">
        <f t="shared" si="3"/>
        <v>0.14103099019315321</v>
      </c>
      <c r="Q15" s="469">
        <f t="shared" si="3"/>
        <v>0.14103099019315321</v>
      </c>
    </row>
    <row r="16" spans="1:17" s="319" customFormat="1" x14ac:dyDescent="0.2">
      <c r="A16" s="327"/>
      <c r="B16" s="328"/>
      <c r="C16" s="468"/>
      <c r="D16" s="410"/>
      <c r="E16" s="467"/>
      <c r="F16" s="467"/>
      <c r="G16" s="467"/>
      <c r="H16" s="467"/>
      <c r="I16" s="467"/>
      <c r="J16" s="467"/>
      <c r="K16" s="467"/>
      <c r="L16" s="467"/>
      <c r="M16" s="467"/>
      <c r="N16" s="467"/>
      <c r="O16" s="467"/>
      <c r="P16" s="467"/>
      <c r="Q16" s="467"/>
    </row>
    <row r="17" spans="1:17" s="563" customFormat="1" x14ac:dyDescent="0.2">
      <c r="A17" s="559"/>
      <c r="B17" s="560" t="s">
        <v>48</v>
      </c>
      <c r="C17" s="561"/>
      <c r="D17" s="562"/>
      <c r="E17" s="329"/>
      <c r="F17" s="329"/>
      <c r="G17" s="329">
        <f>SUMIFS(HY!71:71,HY!$14:$14,FY!G$4)</f>
        <v>-16.500000000000004</v>
      </c>
      <c r="H17" s="329">
        <f>SUMIFS(HY!71:71,HY!$14:$14,FY!H$4)</f>
        <v>-48.399999999999977</v>
      </c>
      <c r="I17" s="329">
        <f>SUMIFS(HY!71:71,HY!$14:$14,FY!I$4)</f>
        <v>-57.599999999999994</v>
      </c>
      <c r="J17" s="329">
        <f>SUMIFS(HY!71:71,HY!$14:$14,FY!J$4)</f>
        <v>-59.619104000000007</v>
      </c>
      <c r="K17" s="329">
        <f>SUMIFS(HY!71:71,HY!$14:$14,FY!K$4)</f>
        <v>-62.600059200000004</v>
      </c>
      <c r="L17" s="329">
        <f>SUMIFS(HY!71:71,HY!$14:$14,FY!L$4)</f>
        <v>-65.730062160000017</v>
      </c>
      <c r="M17" s="329">
        <f>SUMIFS(HY!71:71,HY!$14:$14,FY!M$4)</f>
        <v>-69.016565268000008</v>
      </c>
      <c r="N17" s="329">
        <f>SUMIFS(HY!71:71,HY!$14:$14,FY!N$4)</f>
        <v>-72.46739353140002</v>
      </c>
      <c r="O17" s="329">
        <f>SUMIFS(HY!71:71,HY!$14:$14,FY!O$4)</f>
        <v>-76.090763207970014</v>
      </c>
      <c r="P17" s="329">
        <f>SUMIFS(HY!71:71,HY!$14:$14,FY!P$4)</f>
        <v>-79.895301368368536</v>
      </c>
      <c r="Q17" s="329">
        <f>SUMIFS(HY!71:71,HY!$14:$14,FY!Q$4)</f>
        <v>-83.890066436786952</v>
      </c>
    </row>
    <row r="18" spans="1:17" s="319" customFormat="1" x14ac:dyDescent="0.2">
      <c r="A18" s="327"/>
      <c r="B18" s="226" t="s">
        <v>49</v>
      </c>
      <c r="C18" s="468"/>
      <c r="D18" s="410"/>
      <c r="E18" s="467"/>
      <c r="F18" s="467"/>
      <c r="G18" s="469">
        <f t="shared" ref="G18:Q18" si="4">G17/G12</f>
        <v>-2.7876330461226565E-2</v>
      </c>
      <c r="H18" s="469">
        <f t="shared" si="4"/>
        <v>-3.4074908476485477E-2</v>
      </c>
      <c r="I18" s="469">
        <f t="shared" si="4"/>
        <v>-3.6119646328463026E-2</v>
      </c>
      <c r="J18" s="469">
        <f t="shared" si="4"/>
        <v>-3.4608465676036211E-2</v>
      </c>
      <c r="K18" s="469">
        <f t="shared" si="4"/>
        <v>-3.4608465676036204E-2</v>
      </c>
      <c r="L18" s="469">
        <f t="shared" si="4"/>
        <v>-3.4608465676036218E-2</v>
      </c>
      <c r="M18" s="469">
        <f t="shared" si="4"/>
        <v>-3.4608465676036204E-2</v>
      </c>
      <c r="N18" s="469">
        <f t="shared" si="4"/>
        <v>-3.4608465676036211E-2</v>
      </c>
      <c r="O18" s="469">
        <f t="shared" si="4"/>
        <v>-3.4608465676036204E-2</v>
      </c>
      <c r="P18" s="469">
        <f t="shared" si="4"/>
        <v>-3.4608465676036211E-2</v>
      </c>
      <c r="Q18" s="469">
        <f t="shared" si="4"/>
        <v>-3.4608465676036204E-2</v>
      </c>
    </row>
    <row r="19" spans="1:17" s="319" customFormat="1" x14ac:dyDescent="0.2">
      <c r="A19" s="327"/>
      <c r="B19" s="328"/>
      <c r="C19" s="468"/>
      <c r="D19" s="410"/>
      <c r="E19" s="467"/>
      <c r="F19" s="467"/>
      <c r="G19" s="467"/>
      <c r="H19" s="467"/>
      <c r="I19" s="467"/>
      <c r="J19" s="467"/>
      <c r="K19" s="467"/>
      <c r="L19" s="467"/>
      <c r="M19" s="467"/>
      <c r="N19" s="467"/>
      <c r="O19" s="467"/>
      <c r="P19" s="467"/>
      <c r="Q19" s="467"/>
    </row>
    <row r="20" spans="1:17" s="563" customFormat="1" x14ac:dyDescent="0.2">
      <c r="A20" s="559"/>
      <c r="B20" s="560" t="s">
        <v>1200</v>
      </c>
      <c r="C20" s="561"/>
      <c r="D20" s="562"/>
      <c r="E20" s="329"/>
      <c r="F20" s="329"/>
      <c r="G20" s="329">
        <f>SUMIFS(HY!75:75,HY!$14:$14,FY!G$4)</f>
        <v>63</v>
      </c>
      <c r="H20" s="329">
        <f>SUMIFS(HY!75:75,HY!$14:$14,FY!H$4)</f>
        <v>147.80000000000001</v>
      </c>
      <c r="I20" s="329">
        <f>SUMIFS(HY!75:75,HY!$14:$14,FY!I$4)</f>
        <v>158.1</v>
      </c>
      <c r="J20" s="329">
        <f>SUMIFS(HY!75:75,HY!$14:$14,FY!J$4)</f>
        <v>183.33131600000002</v>
      </c>
      <c r="K20" s="329">
        <f>SUMIFS(HY!75:75,HY!$14:$14,FY!K$4)</f>
        <v>192.49788180000002</v>
      </c>
      <c r="L20" s="329">
        <f>SUMIFS(HY!75:75,HY!$14:$14,FY!L$4)</f>
        <v>202.12277589000001</v>
      </c>
      <c r="M20" s="329">
        <f>SUMIFS(HY!75:75,HY!$14:$14,FY!M$4)</f>
        <v>212.22891468450007</v>
      </c>
      <c r="N20" s="329">
        <f>SUMIFS(HY!75:75,HY!$14:$14,FY!N$4)</f>
        <v>222.84036041872503</v>
      </c>
      <c r="O20" s="329">
        <f>SUMIFS(HY!75:75,HY!$14:$14,FY!O$4)</f>
        <v>233.98237843966135</v>
      </c>
      <c r="P20" s="329">
        <f>SUMIFS(HY!75:75,HY!$14:$14,FY!P$4)</f>
        <v>245.6814973616444</v>
      </c>
      <c r="Q20" s="329">
        <f>SUMIFS(HY!75:75,HY!$14:$14,FY!Q$4)</f>
        <v>257.9655722297266</v>
      </c>
    </row>
    <row r="21" spans="1:17" s="319" customFormat="1" x14ac:dyDescent="0.2">
      <c r="A21" s="327"/>
      <c r="B21" s="226" t="s">
        <v>1201</v>
      </c>
      <c r="C21" s="468"/>
      <c r="D21" s="410"/>
      <c r="E21" s="467"/>
      <c r="F21" s="467"/>
      <c r="G21" s="469">
        <f t="shared" ref="G21:Q21" si="5">G20/G12</f>
        <v>0.10643689812468322</v>
      </c>
      <c r="H21" s="469">
        <f t="shared" si="5"/>
        <v>0.10405519571951563</v>
      </c>
      <c r="I21" s="469">
        <f t="shared" si="5"/>
        <v>9.9140904245312592E-2</v>
      </c>
      <c r="J21" s="469">
        <f t="shared" si="5"/>
        <v>0.10642252451711701</v>
      </c>
      <c r="K21" s="469">
        <f t="shared" si="5"/>
        <v>0.10642252451711698</v>
      </c>
      <c r="L21" s="469">
        <f t="shared" si="5"/>
        <v>0.10642252451711699</v>
      </c>
      <c r="M21" s="469">
        <f t="shared" si="5"/>
        <v>0.10642252451711699</v>
      </c>
      <c r="N21" s="469">
        <f t="shared" si="5"/>
        <v>0.10642252451711698</v>
      </c>
      <c r="O21" s="469">
        <f t="shared" si="5"/>
        <v>0.10642252451711699</v>
      </c>
      <c r="P21" s="469">
        <f t="shared" si="5"/>
        <v>0.10642252451711699</v>
      </c>
      <c r="Q21" s="469">
        <f t="shared" si="5"/>
        <v>0.10642252451711699</v>
      </c>
    </row>
    <row r="22" spans="1:17" s="319" customFormat="1" x14ac:dyDescent="0.2">
      <c r="A22" s="327"/>
      <c r="B22" s="328"/>
      <c r="C22" s="468"/>
      <c r="D22" s="410"/>
      <c r="E22" s="467"/>
      <c r="F22" s="467"/>
      <c r="G22" s="467"/>
      <c r="H22" s="467"/>
      <c r="I22" s="467"/>
      <c r="J22" s="467"/>
      <c r="K22" s="467"/>
      <c r="L22" s="467"/>
      <c r="M22" s="467"/>
      <c r="N22" s="467"/>
      <c r="O22" s="467"/>
      <c r="P22" s="467"/>
      <c r="Q22" s="467"/>
    </row>
    <row r="23" spans="1:17" s="563" customFormat="1" x14ac:dyDescent="0.2">
      <c r="A23" s="559"/>
      <c r="B23" s="560" t="s">
        <v>50</v>
      </c>
      <c r="C23" s="561"/>
      <c r="D23" s="562"/>
      <c r="E23" s="329"/>
      <c r="F23" s="329"/>
      <c r="G23" s="329"/>
      <c r="H23" s="329">
        <f>_xlfn.XLOOKUP(FY!H$7,HY!$8:$8,HY!78:78)</f>
        <v>155.41999999999999</v>
      </c>
      <c r="I23" s="329">
        <f>_xlfn.XLOOKUP(FY!I$7,HY!$8:$8,HY!78:78)</f>
        <v>156.47900000000001</v>
      </c>
      <c r="J23" s="329"/>
      <c r="K23" s="329"/>
      <c r="L23" s="329"/>
      <c r="M23" s="329"/>
      <c r="N23" s="329"/>
      <c r="O23" s="329"/>
      <c r="P23" s="329"/>
      <c r="Q23" s="329"/>
    </row>
    <row r="24" spans="1:17" s="563" customFormat="1" x14ac:dyDescent="0.2">
      <c r="A24" s="559"/>
      <c r="B24" s="560"/>
      <c r="C24" s="561"/>
      <c r="D24" s="562"/>
      <c r="E24" s="329"/>
      <c r="F24" s="329"/>
      <c r="G24" s="329"/>
      <c r="H24" s="329"/>
      <c r="I24" s="329"/>
      <c r="J24" s="329"/>
      <c r="K24" s="329"/>
      <c r="L24" s="329"/>
      <c r="M24" s="329"/>
      <c r="N24" s="329"/>
      <c r="O24" s="329"/>
      <c r="P24" s="329"/>
      <c r="Q24" s="329"/>
    </row>
    <row r="25" spans="1:17" s="563" customFormat="1" x14ac:dyDescent="0.2">
      <c r="A25" s="559"/>
      <c r="B25" s="560" t="s">
        <v>1202</v>
      </c>
      <c r="C25" s="561"/>
      <c r="D25" s="562"/>
      <c r="E25" s="329"/>
      <c r="F25" s="329"/>
      <c r="G25" s="329"/>
      <c r="H25" s="329"/>
      <c r="I25" s="329"/>
      <c r="J25" s="329"/>
      <c r="K25" s="329"/>
      <c r="L25" s="329"/>
      <c r="M25" s="329"/>
      <c r="N25" s="329"/>
      <c r="O25" s="329"/>
      <c r="P25" s="329"/>
      <c r="Q25" s="329"/>
    </row>
    <row r="26" spans="1:17" s="563" customFormat="1" x14ac:dyDescent="0.2">
      <c r="A26" s="559"/>
      <c r="B26" s="234" t="s">
        <v>35</v>
      </c>
      <c r="C26" s="561"/>
      <c r="D26" s="562"/>
      <c r="E26" s="329"/>
      <c r="F26" s="329"/>
      <c r="G26" s="469"/>
      <c r="H26" s="469">
        <f t="shared" ref="H26:Q26" si="6">H12/G12-1</f>
        <v>1.3997296840682552</v>
      </c>
      <c r="I26" s="469">
        <f t="shared" si="6"/>
        <v>0.12271191213742605</v>
      </c>
      <c r="J26" s="469">
        <f t="shared" si="6"/>
        <v>8.0249576722894567E-2</v>
      </c>
      <c r="K26" s="469">
        <f t="shared" si="6"/>
        <v>5.0000000000000266E-2</v>
      </c>
      <c r="L26" s="469">
        <f t="shared" si="6"/>
        <v>4.9999999999999822E-2</v>
      </c>
      <c r="M26" s="469">
        <f t="shared" si="6"/>
        <v>5.0000000000000266E-2</v>
      </c>
      <c r="N26" s="469">
        <f t="shared" si="6"/>
        <v>5.0000000000000044E-2</v>
      </c>
      <c r="O26" s="469">
        <f t="shared" si="6"/>
        <v>5.0000000000000044E-2</v>
      </c>
      <c r="P26" s="469">
        <f t="shared" si="6"/>
        <v>4.9999999999999822E-2</v>
      </c>
      <c r="Q26" s="469">
        <f t="shared" si="6"/>
        <v>5.0000000000000044E-2</v>
      </c>
    </row>
    <row r="27" spans="1:17" s="563" customFormat="1" x14ac:dyDescent="0.2">
      <c r="A27" s="559"/>
      <c r="B27" s="234" t="s">
        <v>42</v>
      </c>
      <c r="C27" s="561"/>
      <c r="D27" s="562"/>
      <c r="E27" s="329"/>
      <c r="F27" s="329"/>
      <c r="G27" s="469"/>
      <c r="H27" s="469">
        <f t="shared" ref="H27:Q27" si="7">H14/G14-1</f>
        <v>1.4679245283018867</v>
      </c>
      <c r="I27" s="469">
        <f t="shared" si="7"/>
        <v>9.9388379204893074E-2</v>
      </c>
      <c r="J27" s="469">
        <f t="shared" si="7"/>
        <v>0.1263348168752898</v>
      </c>
      <c r="K27" s="469">
        <f t="shared" si="7"/>
        <v>5.0000000000000266E-2</v>
      </c>
      <c r="L27" s="469">
        <f t="shared" si="7"/>
        <v>5.0000000000000044E-2</v>
      </c>
      <c r="M27" s="469">
        <f t="shared" si="7"/>
        <v>5.0000000000000044E-2</v>
      </c>
      <c r="N27" s="469">
        <f t="shared" si="7"/>
        <v>4.9999999999999822E-2</v>
      </c>
      <c r="O27" s="469">
        <f t="shared" si="7"/>
        <v>5.0000000000000044E-2</v>
      </c>
      <c r="P27" s="469">
        <f t="shared" si="7"/>
        <v>5.0000000000000044E-2</v>
      </c>
      <c r="Q27" s="469">
        <f t="shared" si="7"/>
        <v>5.0000000000000044E-2</v>
      </c>
    </row>
    <row r="28" spans="1:17" s="563" customFormat="1" x14ac:dyDescent="0.2">
      <c r="A28" s="559"/>
      <c r="B28" s="234" t="s">
        <v>48</v>
      </c>
      <c r="C28" s="561"/>
      <c r="D28" s="562"/>
      <c r="E28" s="329"/>
      <c r="F28" s="329"/>
      <c r="G28" s="469"/>
      <c r="H28" s="469">
        <f t="shared" ref="H28:Q28" si="8">H17/G17-1</f>
        <v>1.9333333333333313</v>
      </c>
      <c r="I28" s="469">
        <f t="shared" si="8"/>
        <v>0.19008264462809965</v>
      </c>
      <c r="J28" s="469">
        <f t="shared" si="8"/>
        <v>3.5053888888889162E-2</v>
      </c>
      <c r="K28" s="469">
        <f t="shared" si="8"/>
        <v>5.0000000000000044E-2</v>
      </c>
      <c r="L28" s="469">
        <f t="shared" si="8"/>
        <v>5.0000000000000266E-2</v>
      </c>
      <c r="M28" s="469">
        <f t="shared" si="8"/>
        <v>4.9999999999999822E-2</v>
      </c>
      <c r="N28" s="469">
        <f t="shared" si="8"/>
        <v>5.0000000000000266E-2</v>
      </c>
      <c r="O28" s="469">
        <f t="shared" si="8"/>
        <v>4.9999999999999822E-2</v>
      </c>
      <c r="P28" s="469">
        <f t="shared" si="8"/>
        <v>5.0000000000000266E-2</v>
      </c>
      <c r="Q28" s="469">
        <f t="shared" si="8"/>
        <v>4.9999999999999822E-2</v>
      </c>
    </row>
    <row r="29" spans="1:17" s="563" customFormat="1" x14ac:dyDescent="0.2">
      <c r="A29" s="559"/>
      <c r="B29" s="234" t="s">
        <v>1200</v>
      </c>
      <c r="C29" s="561"/>
      <c r="D29" s="562"/>
      <c r="E29" s="329"/>
      <c r="F29" s="329"/>
      <c r="G29" s="469"/>
      <c r="H29" s="469">
        <f t="shared" ref="H29:Q29" si="9">H20/G20-1</f>
        <v>1.3460317460317461</v>
      </c>
      <c r="I29" s="469">
        <f t="shared" si="9"/>
        <v>6.9688768606224416E-2</v>
      </c>
      <c r="J29" s="469">
        <f t="shared" si="9"/>
        <v>0.15959086654016463</v>
      </c>
      <c r="K29" s="469">
        <f t="shared" si="9"/>
        <v>5.0000000000000044E-2</v>
      </c>
      <c r="L29" s="469">
        <f t="shared" si="9"/>
        <v>5.0000000000000044E-2</v>
      </c>
      <c r="M29" s="469">
        <f t="shared" si="9"/>
        <v>5.0000000000000266E-2</v>
      </c>
      <c r="N29" s="469">
        <f t="shared" si="9"/>
        <v>4.9999999999999822E-2</v>
      </c>
      <c r="O29" s="469">
        <f t="shared" si="9"/>
        <v>5.0000000000000266E-2</v>
      </c>
      <c r="P29" s="469">
        <f t="shared" si="9"/>
        <v>5.0000000000000044E-2</v>
      </c>
      <c r="Q29" s="469">
        <f t="shared" si="9"/>
        <v>4.9999999999999822E-2</v>
      </c>
    </row>
    <row r="30" spans="1:17" s="319" customFormat="1" x14ac:dyDescent="0.2">
      <c r="A30" s="327"/>
      <c r="B30" s="328"/>
      <c r="C30" s="468"/>
      <c r="D30" s="410"/>
      <c r="E30" s="467"/>
      <c r="F30" s="467"/>
      <c r="G30" s="467"/>
    </row>
    <row r="31" spans="1:17" s="319" customFormat="1" x14ac:dyDescent="0.2">
      <c r="A31" s="327"/>
      <c r="B31" s="465" t="s">
        <v>105</v>
      </c>
      <c r="C31" s="468"/>
      <c r="D31" s="410"/>
      <c r="E31" s="467"/>
      <c r="F31" s="467"/>
      <c r="G31" s="467"/>
      <c r="H31" s="467"/>
      <c r="I31" s="467"/>
      <c r="J31" s="467"/>
      <c r="K31" s="467"/>
      <c r="L31" s="467"/>
      <c r="M31" s="467"/>
      <c r="N31" s="467"/>
      <c r="O31" s="467"/>
      <c r="P31" s="467"/>
      <c r="Q31" s="467"/>
    </row>
    <row r="32" spans="1:17" s="319" customFormat="1" x14ac:dyDescent="0.2">
      <c r="B32" s="234" t="s">
        <v>114</v>
      </c>
      <c r="C32" s="205"/>
      <c r="D32" s="234"/>
      <c r="E32" s="325"/>
      <c r="F32" s="325"/>
      <c r="G32" s="325">
        <f>SUMIFS(HY!197:197,HY!$14:$14,FY!G$4)</f>
        <v>-13.86</v>
      </c>
      <c r="H32" s="325">
        <f>SUMIFS(HY!197:197,HY!$14:$14,FY!H$4)</f>
        <v>-32.516000000000005</v>
      </c>
      <c r="I32" s="325">
        <f>SUMIFS(HY!197:197,HY!$14:$14,FY!I$4)</f>
        <v>-34.781999999999996</v>
      </c>
      <c r="J32" s="325">
        <f>SUMIFS(HY!197:197,HY!$14:$14,FY!J$4)</f>
        <v>-40.332889520000009</v>
      </c>
      <c r="K32" s="325">
        <f>SUMIFS(HY!197:197,HY!$14:$14,FY!K$4)</f>
        <v>-42.349533996000005</v>
      </c>
      <c r="L32" s="325">
        <f>SUMIFS(HY!197:197,HY!$14:$14,FY!L$4)</f>
        <v>-44.467010695800006</v>
      </c>
      <c r="M32" s="325">
        <f>SUMIFS(HY!197:197,HY!$14:$14,FY!M$4)</f>
        <v>-46.690361230590014</v>
      </c>
      <c r="N32" s="325">
        <f>SUMIFS(HY!197:197,HY!$14:$14,FY!N$4)</f>
        <v>-49.024879292119508</v>
      </c>
      <c r="O32" s="325">
        <f>SUMIFS(HY!197:197,HY!$14:$14,FY!O$4)</f>
        <v>-51.476123256725501</v>
      </c>
      <c r="P32" s="325">
        <f>SUMIFS(HY!197:197,HY!$14:$14,FY!P$4)</f>
        <v>-54.049929419561764</v>
      </c>
      <c r="Q32" s="325">
        <f>SUMIFS(HY!197:197,HY!$14:$14,FY!Q$4)</f>
        <v>-56.752425890539854</v>
      </c>
    </row>
    <row r="33" spans="1:17" s="319" customFormat="1" x14ac:dyDescent="0.2">
      <c r="B33" s="234" t="s">
        <v>115</v>
      </c>
      <c r="C33" s="205"/>
      <c r="D33" s="234"/>
      <c r="E33" s="325"/>
      <c r="F33" s="325"/>
      <c r="G33" s="325">
        <f>SUMIFS(HY!198:198,HY!$14:$14,FY!G$4)</f>
        <v>-12.4299</v>
      </c>
      <c r="H33" s="325">
        <f>SUMIFS(HY!198:198,HY!$14:$14,FY!H$4)</f>
        <v>-29.828400000000002</v>
      </c>
      <c r="I33" s="325">
        <f>SUMIFS(HY!198:198,HY!$14:$14,FY!I$4)</f>
        <v>-33.488700000000001</v>
      </c>
      <c r="J33" s="325">
        <f>SUMIFS(HY!198:198,HY!$14:$14,FY!J$4)</f>
        <v>-36.176154000000004</v>
      </c>
      <c r="K33" s="325">
        <f>SUMIFS(HY!198:198,HY!$14:$14,FY!K$4)</f>
        <v>-37.984961700000007</v>
      </c>
      <c r="L33" s="325">
        <f>SUMIFS(HY!198:198,HY!$14:$14,FY!L$4)</f>
        <v>-39.88420978500001</v>
      </c>
      <c r="M33" s="325">
        <f>SUMIFS(HY!198:198,HY!$14:$14,FY!M$4)</f>
        <v>-41.878420274250011</v>
      </c>
      <c r="N33" s="325">
        <f>SUMIFS(HY!198:198,HY!$14:$14,FY!N$4)</f>
        <v>-43.972341287962514</v>
      </c>
      <c r="O33" s="325">
        <f>SUMIFS(HY!198:198,HY!$14:$14,FY!O$4)</f>
        <v>-46.170958352360643</v>
      </c>
      <c r="P33" s="325">
        <f>SUMIFS(HY!198:198,HY!$14:$14,FY!P$4)</f>
        <v>-48.479506269978671</v>
      </c>
      <c r="Q33" s="325">
        <f>SUMIFS(HY!198:198,HY!$14:$14,FY!Q$4)</f>
        <v>-50.903481583477614</v>
      </c>
    </row>
    <row r="34" spans="1:17" s="319" customFormat="1" x14ac:dyDescent="0.2">
      <c r="B34" s="234" t="s">
        <v>110</v>
      </c>
      <c r="C34" s="205"/>
      <c r="D34" s="234"/>
      <c r="E34" s="325"/>
      <c r="F34" s="325"/>
      <c r="G34" s="325">
        <f>SUMIFS(HY!199:199,HY!$14:$14,FY!G$4)</f>
        <v>0</v>
      </c>
      <c r="H34" s="325">
        <f>SUMIFS(HY!199:199,HY!$14:$14,FY!H$4)</f>
        <v>-1.4</v>
      </c>
      <c r="I34" s="325">
        <f>SUMIFS(HY!199:199,HY!$14:$14,FY!I$4)</f>
        <v>-2.9</v>
      </c>
      <c r="J34" s="325">
        <f>SUMIFS(HY!199:199,HY!$14:$14,FY!J$4)</f>
        <v>-1.5</v>
      </c>
      <c r="K34" s="325">
        <f>SUMIFS(HY!199:199,HY!$14:$14,FY!K$4)</f>
        <v>-0.6</v>
      </c>
      <c r="L34" s="325">
        <f>SUMIFS(HY!199:199,HY!$14:$14,FY!L$4)</f>
        <v>-0.61799999999999999</v>
      </c>
      <c r="M34" s="325">
        <f>SUMIFS(HY!199:199,HY!$14:$14,FY!M$4)</f>
        <v>-0.63653999999999999</v>
      </c>
      <c r="N34" s="325">
        <f>SUMIFS(HY!199:199,HY!$14:$14,FY!N$4)</f>
        <v>-0.6556362</v>
      </c>
      <c r="O34" s="325">
        <f>SUMIFS(HY!199:199,HY!$14:$14,FY!O$4)</f>
        <v>-0.67530528600000006</v>
      </c>
      <c r="P34" s="325">
        <f>SUMIFS(HY!199:199,HY!$14:$14,FY!P$4)</f>
        <v>-0.69556444458000011</v>
      </c>
      <c r="Q34" s="325">
        <f>SUMIFS(HY!199:199,HY!$14:$14,FY!Q$4)</f>
        <v>-0.71643137791740008</v>
      </c>
    </row>
    <row r="35" spans="1:17" s="319" customFormat="1" x14ac:dyDescent="0.2">
      <c r="B35" s="234" t="s">
        <v>112</v>
      </c>
      <c r="C35" s="205"/>
      <c r="D35" s="234"/>
      <c r="E35" s="325"/>
      <c r="F35" s="325"/>
      <c r="G35" s="325">
        <f>SUMIFS(HY!200:200,HY!$14:$14,FY!G$4)</f>
        <v>0</v>
      </c>
      <c r="H35" s="325">
        <f>SUMIFS(HY!200:200,HY!$14:$14,FY!H$4)</f>
        <v>0</v>
      </c>
      <c r="I35" s="325">
        <f>SUMIFS(HY!200:200,HY!$14:$14,FY!I$4)</f>
        <v>-5.1496000000000004</v>
      </c>
      <c r="J35" s="325">
        <f>SUMIFS(HY!200:200,HY!$14:$14,FY!J$4)</f>
        <v>-6.8906960000000002</v>
      </c>
      <c r="K35" s="325">
        <f>SUMIFS(HY!200:200,HY!$14:$14,FY!K$4)</f>
        <v>-7.235230800000001</v>
      </c>
      <c r="L35" s="325">
        <f>SUMIFS(HY!200:200,HY!$14:$14,FY!L$4)</f>
        <v>-7.5969923400000017</v>
      </c>
      <c r="M35" s="325">
        <f>SUMIFS(HY!200:200,HY!$14:$14,FY!M$4)</f>
        <v>-7.9768419570000022</v>
      </c>
      <c r="N35" s="325">
        <f>SUMIFS(HY!200:200,HY!$14:$14,FY!N$4)</f>
        <v>-8.3756840548500016</v>
      </c>
      <c r="O35" s="325">
        <f>SUMIFS(HY!200:200,HY!$14:$14,FY!O$4)</f>
        <v>-8.7944682575925022</v>
      </c>
      <c r="P35" s="325">
        <f>SUMIFS(HY!200:200,HY!$14:$14,FY!P$4)</f>
        <v>-9.2341916704721285</v>
      </c>
      <c r="Q35" s="325">
        <f>SUMIFS(HY!200:200,HY!$14:$14,FY!Q$4)</f>
        <v>-9.6959012539957357</v>
      </c>
    </row>
    <row r="36" spans="1:17" s="319" customFormat="1" x14ac:dyDescent="0.2">
      <c r="B36" s="234" t="s">
        <v>101</v>
      </c>
      <c r="C36" s="205"/>
      <c r="D36" s="234"/>
      <c r="E36" s="325"/>
      <c r="F36" s="325"/>
      <c r="G36" s="325">
        <f>SUMIFS(HY!201:201,HY!$14:$14,FY!G$4)</f>
        <v>-0.51010000000000133</v>
      </c>
      <c r="H36" s="325">
        <f>SUMIFS(HY!201:201,HY!$14:$14,FY!H$4)</f>
        <v>-10.355599999999995</v>
      </c>
      <c r="I36" s="325">
        <f>SUMIFS(HY!201:201,HY!$14:$14,FY!I$4)</f>
        <v>-8.5796999999999954</v>
      </c>
      <c r="J36" s="325">
        <f>SUMIFS(HY!201:201,HY!$14:$14,FY!J$4)</f>
        <v>-10.9469878</v>
      </c>
      <c r="K36" s="325">
        <f>SUMIFS(HY!201:201,HY!$14:$14,FY!K$4)</f>
        <v>-11.214607740000002</v>
      </c>
      <c r="L36" s="325">
        <f>SUMIFS(HY!201:201,HY!$14:$14,FY!L$4)</f>
        <v>-11.775338127000001</v>
      </c>
      <c r="M36" s="325">
        <f>SUMIFS(HY!201:201,HY!$14:$14,FY!M$4)</f>
        <v>-12.364105033350002</v>
      </c>
      <c r="N36" s="325">
        <f>SUMIFS(HY!201:201,HY!$14:$14,FY!N$4)</f>
        <v>-12.982310285017503</v>
      </c>
      <c r="O36" s="325">
        <f>SUMIFS(HY!201:201,HY!$14:$14,FY!O$4)</f>
        <v>-13.631425799268378</v>
      </c>
      <c r="P36" s="325">
        <f>SUMIFS(HY!201:201,HY!$14:$14,FY!P$4)</f>
        <v>-14.312997089231796</v>
      </c>
      <c r="Q36" s="325">
        <f>SUMIFS(HY!201:201,HY!$14:$14,FY!Q$4)</f>
        <v>-15.028646943693388</v>
      </c>
    </row>
    <row r="37" spans="1:17" x14ac:dyDescent="0.2">
      <c r="B37" s="270" t="s">
        <v>67</v>
      </c>
      <c r="C37" s="260"/>
      <c r="D37" s="251"/>
      <c r="E37" s="254"/>
      <c r="F37" s="254"/>
      <c r="G37" s="254" t="s">
        <v>67</v>
      </c>
      <c r="H37" s="254" t="s">
        <v>67</v>
      </c>
      <c r="I37" s="254" t="s">
        <v>67</v>
      </c>
      <c r="J37" s="254" t="s">
        <v>67</v>
      </c>
      <c r="K37" s="254" t="s">
        <v>67</v>
      </c>
      <c r="L37" s="254" t="s">
        <v>67</v>
      </c>
      <c r="M37" s="254" t="s">
        <v>67</v>
      </c>
      <c r="N37" s="254" t="s">
        <v>67</v>
      </c>
      <c r="O37" s="254" t="s">
        <v>67</v>
      </c>
      <c r="P37" s="254" t="s">
        <v>67</v>
      </c>
      <c r="Q37" s="254" t="s">
        <v>67</v>
      </c>
    </row>
    <row r="38" spans="1:17" s="319" customFormat="1" x14ac:dyDescent="0.2">
      <c r="B38" s="328" t="s">
        <v>71</v>
      </c>
      <c r="C38" s="400"/>
      <c r="D38" s="328"/>
      <c r="E38" s="329"/>
      <c r="F38" s="329"/>
      <c r="G38" s="329">
        <f>SUMIFS(HY!203:203,HY!$14:$14,FY!G$4)</f>
        <v>-26.8</v>
      </c>
      <c r="H38" s="329">
        <f>SUMIFS(HY!203:203,HY!$14:$14,FY!H$4)</f>
        <v>-73.400000000000006</v>
      </c>
      <c r="I38" s="329">
        <f>SUMIFS(HY!203:203,HY!$14:$14,FY!I$4)</f>
        <v>-84.9</v>
      </c>
      <c r="J38" s="329">
        <f>SUMIFS(HY!203:203,HY!$14:$14,FY!J$4)</f>
        <v>-95.846727320000014</v>
      </c>
      <c r="K38" s="329">
        <f>SUMIFS(HY!203:203,HY!$14:$14,FY!K$4)</f>
        <v>-99.384334236000001</v>
      </c>
      <c r="L38" s="329">
        <f>SUMIFS(HY!203:203,HY!$14:$14,FY!L$4)</f>
        <v>-104.34155094780002</v>
      </c>
      <c r="M38" s="329">
        <f>SUMIFS(HY!203:203,HY!$14:$14,FY!M$4)</f>
        <v>-109.54626849519002</v>
      </c>
      <c r="N38" s="329">
        <f>SUMIFS(HY!203:203,HY!$14:$14,FY!N$4)</f>
        <v>-115.01085111994954</v>
      </c>
      <c r="O38" s="329">
        <f>SUMIFS(HY!203:203,HY!$14:$14,FY!O$4)</f>
        <v>-120.74828095194702</v>
      </c>
      <c r="P38" s="329">
        <f>SUMIFS(HY!203:203,HY!$14:$14,FY!P$4)</f>
        <v>-126.77218889382436</v>
      </c>
      <c r="Q38" s="329">
        <f>SUMIFS(HY!203:203,HY!$14:$14,FY!Q$4)</f>
        <v>-133.096887049624</v>
      </c>
    </row>
    <row r="39" spans="1:17" s="319" customFormat="1" x14ac:dyDescent="0.2">
      <c r="A39" s="327"/>
      <c r="B39" s="328"/>
      <c r="C39" s="468"/>
      <c r="D39" s="410"/>
      <c r="E39" s="467"/>
      <c r="F39" s="467"/>
      <c r="G39" s="467"/>
      <c r="H39" s="467"/>
      <c r="I39" s="467"/>
      <c r="J39" s="467"/>
      <c r="K39" s="467"/>
      <c r="L39" s="467"/>
      <c r="M39" s="467"/>
      <c r="N39" s="467"/>
      <c r="O39" s="467"/>
      <c r="P39" s="467"/>
      <c r="Q39" s="467"/>
    </row>
    <row r="40" spans="1:17" s="319" customFormat="1" x14ac:dyDescent="0.2">
      <c r="A40" s="327"/>
      <c r="B40" s="234" t="s">
        <v>118</v>
      </c>
      <c r="C40" s="468"/>
      <c r="D40" s="410"/>
      <c r="E40" s="467"/>
      <c r="F40" s="467"/>
      <c r="G40" s="469">
        <f t="shared" ref="G40:Q40" si="10">G38/G20</f>
        <v>-0.42539682539682538</v>
      </c>
      <c r="H40" s="469">
        <f t="shared" si="10"/>
        <v>-0.49661705006765899</v>
      </c>
      <c r="I40" s="469">
        <f t="shared" si="10"/>
        <v>-0.53700189753320693</v>
      </c>
      <c r="J40" s="469">
        <f t="shared" si="10"/>
        <v>-0.5228060836043964</v>
      </c>
      <c r="K40" s="469">
        <f t="shared" si="10"/>
        <v>-0.51628793681614416</v>
      </c>
      <c r="L40" s="469">
        <f t="shared" si="10"/>
        <v>-0.51622856696063357</v>
      </c>
      <c r="M40" s="469">
        <f t="shared" si="10"/>
        <v>-0.51617032795951356</v>
      </c>
      <c r="N40" s="469">
        <f t="shared" si="10"/>
        <v>-0.51611319827270075</v>
      </c>
      <c r="O40" s="469">
        <f t="shared" si="10"/>
        <v>-0.51605715677039854</v>
      </c>
      <c r="P40" s="469">
        <f t="shared" si="10"/>
        <v>-0.51600218272528298</v>
      </c>
      <c r="Q40" s="469">
        <f t="shared" si="10"/>
        <v>-0.5159482558048365</v>
      </c>
    </row>
    <row r="41" spans="1:17" s="319" customFormat="1" x14ac:dyDescent="0.2">
      <c r="A41" s="327"/>
      <c r="B41" s="234" t="s">
        <v>119</v>
      </c>
      <c r="C41" s="468"/>
      <c r="D41" s="410"/>
      <c r="E41" s="467"/>
      <c r="F41" s="467"/>
      <c r="G41" s="469">
        <f t="shared" ref="G41:Q41" si="11">G38/G12</f>
        <v>-4.5277918567325562E-2</v>
      </c>
      <c r="H41" s="469">
        <f t="shared" si="11"/>
        <v>-5.1675584342438748E-2</v>
      </c>
      <c r="I41" s="469">
        <f t="shared" si="11"/>
        <v>-5.3238853702890825E-2</v>
      </c>
      <c r="J41" s="469">
        <f t="shared" si="11"/>
        <v>-5.5638343250086791E-2</v>
      </c>
      <c r="K41" s="469">
        <f t="shared" si="11"/>
        <v>-5.4944665613707852E-2</v>
      </c>
      <c r="L41" s="469">
        <f t="shared" si="11"/>
        <v>-5.4938347323804204E-2</v>
      </c>
      <c r="M41" s="469">
        <f t="shared" si="11"/>
        <v>-5.4932149382279652E-2</v>
      </c>
      <c r="N41" s="469">
        <f t="shared" si="11"/>
        <v>-5.4926069496784156E-2</v>
      </c>
      <c r="O41" s="469">
        <f t="shared" si="11"/>
        <v>-5.4920105418631425E-2</v>
      </c>
      <c r="P41" s="469">
        <f t="shared" si="11"/>
        <v>-5.4914254941967312E-2</v>
      </c>
      <c r="Q41" s="469">
        <f t="shared" si="11"/>
        <v>-5.4908515902953953E-2</v>
      </c>
    </row>
    <row r="42" spans="1:17" s="319" customFormat="1" x14ac:dyDescent="0.2">
      <c r="A42" s="327"/>
      <c r="B42" s="328"/>
      <c r="C42" s="468"/>
      <c r="D42" s="410"/>
      <c r="E42" s="467"/>
      <c r="F42" s="467"/>
      <c r="G42" s="467"/>
      <c r="H42" s="467"/>
      <c r="I42" s="467"/>
      <c r="J42" s="467"/>
      <c r="K42" s="467"/>
      <c r="L42" s="467"/>
      <c r="M42" s="467"/>
      <c r="N42" s="467"/>
      <c r="O42" s="467"/>
      <c r="P42" s="467"/>
      <c r="Q42" s="467"/>
    </row>
    <row r="43" spans="1:17" s="319" customFormat="1" x14ac:dyDescent="0.2">
      <c r="A43" s="327"/>
      <c r="B43" s="465" t="s">
        <v>120</v>
      </c>
      <c r="C43" s="468"/>
      <c r="D43" s="410"/>
      <c r="E43" s="467"/>
      <c r="F43" s="467"/>
      <c r="G43" s="467"/>
      <c r="H43" s="467"/>
      <c r="I43" s="467"/>
      <c r="J43" s="467"/>
      <c r="K43" s="467"/>
      <c r="L43" s="467"/>
      <c r="M43" s="467"/>
      <c r="N43" s="467"/>
      <c r="O43" s="467"/>
      <c r="P43" s="467"/>
      <c r="Q43" s="467"/>
    </row>
    <row r="44" spans="1:17" s="319" customFormat="1" x14ac:dyDescent="0.2">
      <c r="B44" s="263" t="s">
        <v>123</v>
      </c>
      <c r="C44" s="205"/>
      <c r="D44" s="234"/>
      <c r="E44" s="325"/>
      <c r="F44" s="325"/>
      <c r="G44" s="325">
        <f>SUMIFS(HY!221:221,HY!$14:$14,FY!G$4)</f>
        <v>-10</v>
      </c>
      <c r="H44" s="325">
        <f>SUMIFS(HY!221:221,HY!$14:$14,FY!H$4)</f>
        <v>-21</v>
      </c>
      <c r="I44" s="325">
        <f>SUMIFS(HY!221:221,HY!$14:$14,FY!I$4)</f>
        <v>-22.4</v>
      </c>
      <c r="J44" s="325"/>
      <c r="K44" s="325"/>
      <c r="L44" s="325"/>
      <c r="M44" s="325"/>
      <c r="N44" s="325"/>
      <c r="O44" s="325"/>
      <c r="P44" s="325"/>
      <c r="Q44" s="325"/>
    </row>
    <row r="45" spans="1:17" s="319" customFormat="1" x14ac:dyDescent="0.2">
      <c r="B45" s="263" t="s">
        <v>124</v>
      </c>
      <c r="C45" s="205"/>
      <c r="D45" s="234"/>
      <c r="E45" s="325"/>
      <c r="F45" s="325"/>
      <c r="G45" s="325">
        <f>SUMIFS(HY!222:222,HY!$14:$14,FY!G$4)</f>
        <v>-3.6</v>
      </c>
      <c r="H45" s="325">
        <f>SUMIFS(HY!222:222,HY!$14:$14,FY!H$4)</f>
        <v>-3.7</v>
      </c>
      <c r="I45" s="325">
        <f>SUMIFS(HY!222:222,HY!$14:$14,FY!I$4)</f>
        <v>-5.9</v>
      </c>
      <c r="J45" s="325"/>
      <c r="K45" s="325"/>
      <c r="L45" s="325"/>
      <c r="M45" s="325"/>
      <c r="N45" s="325"/>
      <c r="O45" s="325"/>
      <c r="P45" s="325"/>
      <c r="Q45" s="325"/>
    </row>
    <row r="46" spans="1:17" s="319" customFormat="1" x14ac:dyDescent="0.2">
      <c r="B46" s="263" t="s">
        <v>125</v>
      </c>
      <c r="C46" s="205"/>
      <c r="D46" s="234"/>
      <c r="E46" s="325"/>
      <c r="F46" s="325"/>
      <c r="G46" s="325">
        <f>SUMIFS(HY!223:223,HY!$14:$14,FY!G$4)</f>
        <v>-4</v>
      </c>
      <c r="H46" s="325">
        <f>SUMIFS(HY!223:223,HY!$14:$14,FY!H$4)</f>
        <v>-5.3</v>
      </c>
      <c r="I46" s="325">
        <f>SUMIFS(HY!223:223,HY!$14:$14,FY!I$4)</f>
        <v>-5.5</v>
      </c>
      <c r="J46" s="325"/>
      <c r="K46" s="325"/>
      <c r="L46" s="325"/>
      <c r="M46" s="325"/>
      <c r="N46" s="325"/>
      <c r="O46" s="325"/>
      <c r="P46" s="325"/>
      <c r="Q46" s="325"/>
    </row>
    <row r="47" spans="1:17" s="319" customFormat="1" x14ac:dyDescent="0.2">
      <c r="B47" s="263" t="s">
        <v>126</v>
      </c>
      <c r="C47" s="205"/>
      <c r="D47" s="234"/>
      <c r="E47" s="325"/>
      <c r="F47" s="325"/>
      <c r="G47" s="325">
        <f>SUMIFS(HY!224:224,HY!$14:$14,FY!G$4)</f>
        <v>-3</v>
      </c>
      <c r="H47" s="325">
        <f>SUMIFS(HY!224:224,HY!$14:$14,FY!H$4)</f>
        <v>-5.6</v>
      </c>
      <c r="I47" s="325">
        <f>SUMIFS(HY!224:224,HY!$14:$14,FY!I$4)</f>
        <v>-6.1</v>
      </c>
      <c r="J47" s="325"/>
      <c r="K47" s="325"/>
      <c r="L47" s="325"/>
      <c r="M47" s="325"/>
      <c r="N47" s="325"/>
      <c r="O47" s="325"/>
      <c r="P47" s="325"/>
      <c r="Q47" s="325"/>
    </row>
    <row r="48" spans="1:17" x14ac:dyDescent="0.2">
      <c r="B48" s="549" t="s">
        <v>67</v>
      </c>
      <c r="C48" s="260"/>
      <c r="D48" s="251"/>
      <c r="E48" s="254"/>
      <c r="F48" s="254"/>
      <c r="G48" s="254" t="s">
        <v>67</v>
      </c>
      <c r="H48" s="254" t="s">
        <v>67</v>
      </c>
      <c r="I48" s="254" t="s">
        <v>67</v>
      </c>
      <c r="J48" s="254" t="s">
        <v>67</v>
      </c>
      <c r="K48" s="254" t="s">
        <v>67</v>
      </c>
      <c r="L48" s="254" t="s">
        <v>67</v>
      </c>
      <c r="M48" s="254" t="s">
        <v>67</v>
      </c>
      <c r="N48" s="254" t="s">
        <v>67</v>
      </c>
      <c r="O48" s="254" t="s">
        <v>67</v>
      </c>
      <c r="P48" s="254" t="s">
        <v>67</v>
      </c>
      <c r="Q48" s="254" t="s">
        <v>67</v>
      </c>
    </row>
    <row r="49" spans="1:17" s="319" customFormat="1" x14ac:dyDescent="0.2">
      <c r="B49" s="330" t="s">
        <v>127</v>
      </c>
      <c r="C49" s="400"/>
      <c r="D49" s="328"/>
      <c r="E49" s="329"/>
      <c r="F49" s="329"/>
      <c r="G49" s="329">
        <f>SUMIFS(HY!226:226,HY!$14:$14,FY!G$4)</f>
        <v>-20.6</v>
      </c>
      <c r="H49" s="329">
        <f>SUMIFS(HY!226:226,HY!$14:$14,FY!H$4)</f>
        <v>-35.6</v>
      </c>
      <c r="I49" s="329">
        <f>SUMIFS(HY!226:226,HY!$14:$14,FY!I$4)</f>
        <v>-39.899999999999991</v>
      </c>
      <c r="J49" s="329">
        <f>SUMIFS(HY!226:226,HY!$14:$14,FY!J$4)</f>
        <v>-33.5</v>
      </c>
      <c r="K49" s="329">
        <f>SUMIFS(HY!226:226,HY!$14:$14,FY!K$4)</f>
        <v>-33.2196393774</v>
      </c>
      <c r="L49" s="329">
        <f>SUMIFS(HY!226:226,HY!$14:$14,FY!L$4)</f>
        <v>-32.85635305995001</v>
      </c>
      <c r="M49" s="329">
        <f>SUMIFS(HY!226:226,HY!$14:$14,FY!M$4)</f>
        <v>-32.895481776097512</v>
      </c>
      <c r="N49" s="329">
        <f>SUMIFS(HY!226:226,HY!$14:$14,FY!N$4)</f>
        <v>-33.42605406280876</v>
      </c>
      <c r="O49" s="329">
        <f>SUMIFS(HY!226:226,HY!$14:$14,FY!O$4)</f>
        <v>-35.097356765949201</v>
      </c>
      <c r="P49" s="329">
        <f>SUMIFS(HY!226:226,HY!$14:$14,FY!P$4)</f>
        <v>-36.852224604246658</v>
      </c>
      <c r="Q49" s="329">
        <f>SUMIFS(HY!226:226,HY!$14:$14,FY!Q$4)</f>
        <v>-38.694835834458985</v>
      </c>
    </row>
    <row r="50" spans="1:17" s="319" customFormat="1" x14ac:dyDescent="0.2">
      <c r="B50" s="234" t="s">
        <v>128</v>
      </c>
      <c r="C50" s="205"/>
      <c r="D50" s="234"/>
      <c r="E50" s="325"/>
      <c r="F50" s="325"/>
      <c r="G50" s="325">
        <f>SUMIFS(HY!227:227,HY!$14:$14,FY!G$4)</f>
        <v>-10.5</v>
      </c>
      <c r="H50" s="325">
        <f>SUMIFS(HY!227:227,HY!$14:$14,FY!H$4)</f>
        <v>-19.5</v>
      </c>
      <c r="I50" s="325">
        <f>SUMIFS(HY!227:227,HY!$14:$14,FY!I$4)</f>
        <v>-28.2</v>
      </c>
      <c r="J50" s="325">
        <f>SUMIFS(HY!227:227,HY!$14:$14,FY!J$4)</f>
        <v>-21.5</v>
      </c>
      <c r="K50" s="325">
        <f>SUMIFS(HY!227:227,HY!$14:$14,FY!K$4)</f>
        <v>-21.5</v>
      </c>
      <c r="L50" s="325">
        <f>SUMIFS(HY!227:227,HY!$14:$14,FY!L$4)</f>
        <v>-21.739600386000003</v>
      </c>
      <c r="M50" s="325">
        <f>SUMIFS(HY!227:227,HY!$14:$14,FY!M$4)</f>
        <v>-22.826580405300007</v>
      </c>
      <c r="N50" s="325">
        <f>SUMIFS(HY!227:227,HY!$14:$14,FY!N$4)</f>
        <v>-23.967909425565004</v>
      </c>
      <c r="O50" s="325">
        <f>SUMIFS(HY!227:227,HY!$14:$14,FY!O$4)</f>
        <v>-25.166304896843261</v>
      </c>
      <c r="P50" s="325">
        <f>SUMIFS(HY!227:227,HY!$14:$14,FY!P$4)</f>
        <v>-26.424620141685423</v>
      </c>
      <c r="Q50" s="325">
        <f>SUMIFS(HY!227:227,HY!$14:$14,FY!Q$4)</f>
        <v>-27.745851148769692</v>
      </c>
    </row>
    <row r="51" spans="1:17" x14ac:dyDescent="0.2">
      <c r="B51" s="270" t="s">
        <v>67</v>
      </c>
      <c r="C51" s="260"/>
      <c r="D51" s="251"/>
      <c r="E51" s="254"/>
      <c r="F51" s="254"/>
      <c r="G51" s="254" t="s">
        <v>67</v>
      </c>
      <c r="H51" s="254" t="s">
        <v>67</v>
      </c>
      <c r="I51" s="254" t="s">
        <v>67</v>
      </c>
      <c r="J51" s="254" t="s">
        <v>67</v>
      </c>
      <c r="K51" s="254" t="s">
        <v>67</v>
      </c>
      <c r="L51" s="254" t="s">
        <v>67</v>
      </c>
      <c r="M51" s="254" t="s">
        <v>67</v>
      </c>
      <c r="N51" s="254" t="s">
        <v>67</v>
      </c>
      <c r="O51" s="254" t="s">
        <v>67</v>
      </c>
      <c r="P51" s="254" t="s">
        <v>67</v>
      </c>
      <c r="Q51" s="254" t="s">
        <v>67</v>
      </c>
    </row>
    <row r="52" spans="1:17" s="319" customFormat="1" x14ac:dyDescent="0.2">
      <c r="B52" s="328" t="s">
        <v>129</v>
      </c>
      <c r="C52" s="400"/>
      <c r="D52" s="328"/>
      <c r="E52" s="329"/>
      <c r="F52" s="329"/>
      <c r="G52" s="329">
        <f>SUMIFS(HY!229:229,HY!$14:$14,FY!G$4)</f>
        <v>-31.1</v>
      </c>
      <c r="H52" s="329">
        <f>SUMIFS(HY!229:229,HY!$14:$14,FY!H$4)</f>
        <v>-55.1</v>
      </c>
      <c r="I52" s="329">
        <f>SUMIFS(HY!229:229,HY!$14:$14,FY!I$4)</f>
        <v>-68.2</v>
      </c>
      <c r="J52" s="329">
        <f>SUMIFS(HY!229:229,HY!$14:$14,FY!J$4)</f>
        <v>-55</v>
      </c>
      <c r="K52" s="329">
        <f>SUMIFS(HY!229:229,HY!$14:$14,FY!K$4)</f>
        <v>-54.7196393774</v>
      </c>
      <c r="L52" s="329">
        <f>SUMIFS(HY!229:229,HY!$14:$14,FY!L$4)</f>
        <v>-54.595953445950009</v>
      </c>
      <c r="M52" s="329">
        <f>SUMIFS(HY!229:229,HY!$14:$14,FY!M$4)</f>
        <v>-55.722062181397519</v>
      </c>
      <c r="N52" s="329">
        <f>SUMIFS(HY!229:229,HY!$14:$14,FY!N$4)</f>
        <v>-57.393963488373764</v>
      </c>
      <c r="O52" s="329">
        <f>SUMIFS(HY!229:229,HY!$14:$14,FY!O$4)</f>
        <v>-60.263661662792458</v>
      </c>
      <c r="P52" s="329">
        <f>SUMIFS(HY!229:229,HY!$14:$14,FY!P$4)</f>
        <v>-63.276844745932081</v>
      </c>
      <c r="Q52" s="329">
        <f>SUMIFS(HY!229:229,HY!$14:$14,FY!Q$4)</f>
        <v>-66.440686983228687</v>
      </c>
    </row>
    <row r="53" spans="1:17" s="319" customFormat="1" x14ac:dyDescent="0.2">
      <c r="A53" s="327"/>
      <c r="B53" s="328"/>
      <c r="C53" s="468"/>
      <c r="D53" s="410"/>
      <c r="E53" s="467"/>
      <c r="F53" s="467"/>
      <c r="G53" s="467"/>
      <c r="H53" s="467"/>
      <c r="I53" s="467"/>
      <c r="J53" s="467"/>
      <c r="K53" s="467"/>
      <c r="L53" s="467"/>
      <c r="M53" s="467"/>
      <c r="N53" s="467"/>
      <c r="O53" s="467"/>
      <c r="P53" s="467"/>
      <c r="Q53" s="467"/>
    </row>
    <row r="54" spans="1:17" s="319" customFormat="1" x14ac:dyDescent="0.2">
      <c r="A54" s="327"/>
      <c r="B54" s="234" t="s">
        <v>130</v>
      </c>
      <c r="C54" s="468"/>
      <c r="D54" s="410"/>
      <c r="E54" s="467"/>
      <c r="F54" s="467"/>
      <c r="G54" s="469">
        <f t="shared" ref="G54:Q54" si="12">G49/G20</f>
        <v>-0.32698412698412699</v>
      </c>
      <c r="H54" s="469">
        <f t="shared" si="12"/>
        <v>-0.24086603518267929</v>
      </c>
      <c r="I54" s="469">
        <f t="shared" si="12"/>
        <v>-0.25237191650853885</v>
      </c>
      <c r="J54" s="469">
        <f t="shared" si="12"/>
        <v>-0.18272928341386038</v>
      </c>
      <c r="K54" s="469">
        <f t="shared" si="12"/>
        <v>-0.1725714541208006</v>
      </c>
      <c r="L54" s="469">
        <f t="shared" si="12"/>
        <v>-0.16255641114800051</v>
      </c>
      <c r="M54" s="469">
        <f t="shared" si="12"/>
        <v>-0.155</v>
      </c>
      <c r="N54" s="469">
        <f t="shared" si="12"/>
        <v>-0.15000000000000002</v>
      </c>
      <c r="O54" s="469">
        <f t="shared" si="12"/>
        <v>-0.15</v>
      </c>
      <c r="P54" s="469">
        <f t="shared" si="12"/>
        <v>-0.15</v>
      </c>
      <c r="Q54" s="469">
        <f t="shared" si="12"/>
        <v>-0.14999999999999997</v>
      </c>
    </row>
    <row r="55" spans="1:17" s="319" customFormat="1" x14ac:dyDescent="0.2">
      <c r="A55" s="327"/>
      <c r="B55" s="234" t="s">
        <v>1203</v>
      </c>
      <c r="C55" s="468"/>
      <c r="D55" s="410"/>
      <c r="E55" s="467"/>
      <c r="F55" s="467"/>
      <c r="G55" s="469">
        <f t="shared" ref="G55:Q55" si="13">G50/G20</f>
        <v>-0.16666666666666666</v>
      </c>
      <c r="H55" s="469">
        <f t="shared" si="13"/>
        <v>-0.13193504736129905</v>
      </c>
      <c r="I55" s="469">
        <f t="shared" si="13"/>
        <v>-0.17836812144212524</v>
      </c>
      <c r="J55" s="469">
        <f t="shared" si="13"/>
        <v>-0.11727401771337308</v>
      </c>
      <c r="K55" s="469">
        <f t="shared" si="13"/>
        <v>-0.11168954067940294</v>
      </c>
      <c r="L55" s="469">
        <f t="shared" si="13"/>
        <v>-0.10755641114800049</v>
      </c>
      <c r="M55" s="469">
        <f t="shared" si="13"/>
        <v>-0.10755641114800048</v>
      </c>
      <c r="N55" s="469">
        <f t="shared" si="13"/>
        <v>-0.10755641114800049</v>
      </c>
      <c r="O55" s="469">
        <f t="shared" si="13"/>
        <v>-0.10755641114800049</v>
      </c>
      <c r="P55" s="469">
        <f t="shared" si="13"/>
        <v>-0.10755641114800049</v>
      </c>
      <c r="Q55" s="469">
        <f t="shared" si="13"/>
        <v>-0.10755641114800049</v>
      </c>
    </row>
    <row r="56" spans="1:17" s="319" customFormat="1" x14ac:dyDescent="0.2">
      <c r="A56" s="327"/>
      <c r="B56" s="234" t="s">
        <v>1204</v>
      </c>
      <c r="C56" s="468"/>
      <c r="D56" s="410"/>
      <c r="E56" s="467"/>
      <c r="F56" s="467"/>
      <c r="G56" s="469">
        <f t="shared" ref="G56:Q56" si="14">G52/G20</f>
        <v>-0.49365079365079367</v>
      </c>
      <c r="H56" s="469">
        <f t="shared" si="14"/>
        <v>-0.37280108254397831</v>
      </c>
      <c r="I56" s="469">
        <f t="shared" si="14"/>
        <v>-0.43137254901960786</v>
      </c>
      <c r="J56" s="469">
        <f t="shared" si="14"/>
        <v>-0.30000330112723345</v>
      </c>
      <c r="K56" s="469">
        <f t="shared" si="14"/>
        <v>-0.28426099480020356</v>
      </c>
      <c r="L56" s="469">
        <f t="shared" si="14"/>
        <v>-0.27011282229600098</v>
      </c>
      <c r="M56" s="469">
        <f t="shared" si="14"/>
        <v>-0.26255641114800049</v>
      </c>
      <c r="N56" s="469">
        <f t="shared" si="14"/>
        <v>-0.25755641114800054</v>
      </c>
      <c r="O56" s="469">
        <f t="shared" si="14"/>
        <v>-0.25755641114800049</v>
      </c>
      <c r="P56" s="469">
        <f t="shared" si="14"/>
        <v>-0.25755641114800049</v>
      </c>
      <c r="Q56" s="469">
        <f t="shared" si="14"/>
        <v>-0.25755641114800049</v>
      </c>
    </row>
    <row r="57" spans="1:17" s="319" customFormat="1" x14ac:dyDescent="0.2">
      <c r="B57" s="328"/>
      <c r="C57" s="317"/>
      <c r="D57" s="328"/>
      <c r="E57" s="329"/>
      <c r="F57" s="329"/>
      <c r="G57" s="329"/>
      <c r="H57" s="329"/>
      <c r="I57" s="329"/>
      <c r="J57" s="329"/>
      <c r="K57" s="329"/>
      <c r="L57" s="329"/>
      <c r="M57" s="329"/>
      <c r="N57" s="329"/>
      <c r="O57" s="329"/>
      <c r="P57" s="329"/>
      <c r="Q57" s="329"/>
    </row>
    <row r="58" spans="1:17" s="503" customFormat="1" x14ac:dyDescent="0.2">
      <c r="A58" s="504" t="s">
        <v>7</v>
      </c>
      <c r="B58" s="500" t="s">
        <v>1205</v>
      </c>
      <c r="C58" s="501"/>
      <c r="D58" s="500"/>
      <c r="E58" s="502"/>
      <c r="F58" s="502"/>
      <c r="G58" s="502"/>
      <c r="H58" s="502"/>
      <c r="I58" s="502"/>
      <c r="J58" s="502"/>
      <c r="K58" s="502"/>
      <c r="L58" s="502"/>
      <c r="M58" s="502"/>
      <c r="N58" s="502"/>
      <c r="O58" s="502"/>
      <c r="P58" s="502"/>
      <c r="Q58" s="502"/>
    </row>
    <row r="59" spans="1:17" s="319" customFormat="1" x14ac:dyDescent="0.2">
      <c r="B59" s="328"/>
      <c r="C59" s="400"/>
      <c r="D59" s="328"/>
      <c r="E59" s="329"/>
      <c r="F59" s="329"/>
      <c r="G59" s="329"/>
      <c r="H59" s="329"/>
      <c r="I59" s="329"/>
      <c r="J59" s="329"/>
      <c r="K59" s="329"/>
      <c r="L59" s="329"/>
      <c r="M59" s="329"/>
      <c r="N59" s="329"/>
      <c r="O59" s="329"/>
      <c r="P59" s="329"/>
      <c r="Q59" s="329"/>
    </row>
    <row r="60" spans="1:17" s="319" customFormat="1" x14ac:dyDescent="0.2">
      <c r="B60" s="421" t="s">
        <v>1306</v>
      </c>
      <c r="C60" s="400"/>
      <c r="D60" s="328"/>
      <c r="E60" s="329"/>
      <c r="F60" s="329"/>
      <c r="G60" s="329"/>
      <c r="H60" s="329"/>
      <c r="I60" s="329"/>
      <c r="J60" s="329"/>
      <c r="K60" s="329"/>
      <c r="L60" s="329"/>
      <c r="M60" s="329"/>
      <c r="N60" s="329"/>
      <c r="O60" s="329"/>
      <c r="P60" s="329"/>
      <c r="Q60" s="329"/>
    </row>
    <row r="61" spans="1:17" s="319" customFormat="1" x14ac:dyDescent="0.2">
      <c r="B61" s="328" t="s">
        <v>65</v>
      </c>
      <c r="C61" s="400"/>
      <c r="D61" s="328"/>
      <c r="E61" s="329"/>
      <c r="F61" s="329"/>
      <c r="G61" s="329"/>
      <c r="H61" s="329">
        <f>SUMIFS(HY!105:105,HY!$14:$14,FY!H$4)</f>
        <v>1420.4</v>
      </c>
      <c r="I61" s="329">
        <f>SUMIFS(HY!105:105,HY!$14:$14,FY!I$4)</f>
        <v>1594.7</v>
      </c>
      <c r="J61" s="329">
        <f>SUMIFS(HY!105:105,HY!$14:$14,FY!J$4)</f>
        <v>1722.674</v>
      </c>
      <c r="K61" s="329">
        <f>SUMIFS(HY!105:105,HY!$14:$14,FY!K$4)</f>
        <v>1808.8077000000003</v>
      </c>
      <c r="L61" s="329">
        <f>SUMIFS(HY!105:105,HY!$14:$14,FY!L$4)</f>
        <v>1899.2480850000002</v>
      </c>
      <c r="M61" s="329">
        <f>SUMIFS(HY!105:105,HY!$14:$14,FY!M$4)</f>
        <v>1994.2104892500006</v>
      </c>
      <c r="N61" s="329">
        <f>SUMIFS(HY!105:105,HY!$14:$14,FY!N$4)</f>
        <v>2093.9210137125006</v>
      </c>
      <c r="O61" s="329">
        <f>SUMIFS(HY!105:105,HY!$14:$14,FY!O$4)</f>
        <v>2198.6170643981259</v>
      </c>
      <c r="P61" s="329">
        <f>SUMIFS(HY!105:105,HY!$14:$14,FY!P$4)</f>
        <v>2308.547917618032</v>
      </c>
      <c r="Q61" s="329">
        <f>SUMIFS(HY!105:105,HY!$14:$14,FY!Q$4)</f>
        <v>2423.9753134989337</v>
      </c>
    </row>
    <row r="62" spans="1:17" s="319" customFormat="1" x14ac:dyDescent="0.2">
      <c r="B62" s="234" t="s">
        <v>66</v>
      </c>
      <c r="C62" s="205"/>
      <c r="D62" s="234"/>
      <c r="E62" s="325"/>
      <c r="F62" s="325"/>
      <c r="G62" s="325"/>
      <c r="H62" s="325">
        <f>SUMIFS(HY!106:106,HY!$14:$14,FY!H$4)</f>
        <v>-1224.2</v>
      </c>
      <c r="I62" s="325">
        <f>SUMIFS(HY!106:106,HY!$14:$14,FY!I$4)</f>
        <v>-1379</v>
      </c>
      <c r="J62" s="325">
        <f>SUMIFS(HY!106:106,HY!$14:$14,FY!J$4)</f>
        <v>-1479.7235800000001</v>
      </c>
      <c r="K62" s="325">
        <f>SUMIFS(HY!106:106,HY!$14:$14,FY!K$4)</f>
        <v>-1553.7097590000003</v>
      </c>
      <c r="L62" s="325">
        <f>SUMIFS(HY!106:106,HY!$14:$14,FY!L$4)</f>
        <v>-1631.3952469500002</v>
      </c>
      <c r="M62" s="325">
        <f>SUMIFS(HY!106:106,HY!$14:$14,FY!M$4)</f>
        <v>-1712.9650092975003</v>
      </c>
      <c r="N62" s="325">
        <f>SUMIFS(HY!106:106,HY!$14:$14,FY!N$4)</f>
        <v>-1798.6132597623755</v>
      </c>
      <c r="O62" s="325">
        <f>SUMIFS(HY!106:106,HY!$14:$14,FY!O$4)</f>
        <v>-1888.5439227504944</v>
      </c>
      <c r="P62" s="325">
        <f>SUMIFS(HY!106:106,HY!$14:$14,FY!P$4)</f>
        <v>-1982.9711188880192</v>
      </c>
      <c r="Q62" s="325">
        <f>SUMIFS(HY!106:106,HY!$14:$14,FY!Q$4)</f>
        <v>-2082.1196748324201</v>
      </c>
    </row>
    <row r="63" spans="1:17" x14ac:dyDescent="0.2">
      <c r="B63" s="270" t="s">
        <v>67</v>
      </c>
      <c r="C63" s="260"/>
      <c r="D63" s="251"/>
      <c r="E63" s="254"/>
      <c r="F63" s="254"/>
      <c r="G63" s="254"/>
      <c r="H63" s="254" t="s">
        <v>1310</v>
      </c>
      <c r="I63" s="254" t="s">
        <v>67</v>
      </c>
      <c r="J63" s="254" t="s">
        <v>67</v>
      </c>
      <c r="K63" s="254" t="s">
        <v>67</v>
      </c>
      <c r="L63" s="254" t="s">
        <v>67</v>
      </c>
      <c r="M63" s="254" t="s">
        <v>67</v>
      </c>
      <c r="N63" s="254" t="s">
        <v>67</v>
      </c>
      <c r="O63" s="254" t="s">
        <v>67</v>
      </c>
      <c r="P63" s="254" t="s">
        <v>67</v>
      </c>
      <c r="Q63" s="254" t="s">
        <v>67</v>
      </c>
    </row>
    <row r="64" spans="1:17" s="319" customFormat="1" x14ac:dyDescent="0.2">
      <c r="B64" s="328" t="s">
        <v>68</v>
      </c>
      <c r="C64" s="400"/>
      <c r="D64" s="328"/>
      <c r="E64" s="329"/>
      <c r="F64" s="329"/>
      <c r="G64" s="329"/>
      <c r="H64" s="329">
        <f>SUMIFS(HY!108:108,HY!$14:$14,FY!H$4)</f>
        <v>196.2</v>
      </c>
      <c r="I64" s="329">
        <f>SUMIFS(HY!108:108,HY!$14:$14,FY!I$4)</f>
        <v>215.7</v>
      </c>
      <c r="J64" s="329">
        <f>SUMIFS(HY!108:108,HY!$14:$14,FY!J$4)</f>
        <v>242.95042000000001</v>
      </c>
      <c r="K64" s="329">
        <f>SUMIFS(HY!108:108,HY!$14:$14,FY!K$4)</f>
        <v>255.09794100000005</v>
      </c>
      <c r="L64" s="329">
        <f>SUMIFS(HY!108:108,HY!$14:$14,FY!L$4)</f>
        <v>267.85283805000006</v>
      </c>
      <c r="M64" s="329">
        <f>SUMIFS(HY!108:108,HY!$14:$14,FY!M$4)</f>
        <v>281.24547995250009</v>
      </c>
      <c r="N64" s="329">
        <f>SUMIFS(HY!108:108,HY!$14:$14,FY!N$4)</f>
        <v>295.30775395012506</v>
      </c>
      <c r="O64" s="329">
        <f>SUMIFS(HY!108:108,HY!$14:$14,FY!O$4)</f>
        <v>310.07314164763136</v>
      </c>
      <c r="P64" s="329">
        <f>SUMIFS(HY!108:108,HY!$14:$14,FY!P$4)</f>
        <v>325.57679873001291</v>
      </c>
      <c r="Q64" s="329">
        <f>SUMIFS(HY!108:108,HY!$14:$14,FY!Q$4)</f>
        <v>341.85563866651358</v>
      </c>
    </row>
    <row r="65" spans="2:17" s="319" customFormat="1" x14ac:dyDescent="0.2">
      <c r="B65" s="234" t="s">
        <v>69</v>
      </c>
      <c r="C65" s="205"/>
      <c r="D65" s="234"/>
      <c r="E65" s="325"/>
      <c r="F65" s="325"/>
      <c r="G65" s="325"/>
      <c r="H65" s="325">
        <f>SUMIFS(HY!109:109,HY!$14:$14,FY!H$4)</f>
        <v>-48.4</v>
      </c>
      <c r="I65" s="325">
        <f>SUMIFS(HY!109:109,HY!$14:$14,FY!I$4)</f>
        <v>-55.8</v>
      </c>
      <c r="J65" s="325">
        <f>SUMIFS(HY!109:109,HY!$14:$14,FY!J$4)</f>
        <v>-59.619104000000007</v>
      </c>
      <c r="K65" s="325">
        <f>SUMIFS(HY!109:109,HY!$14:$14,FY!K$4)</f>
        <v>-62.600059200000004</v>
      </c>
      <c r="L65" s="325">
        <f>SUMIFS(HY!109:109,HY!$14:$14,FY!L$4)</f>
        <v>-65.730062160000017</v>
      </c>
      <c r="M65" s="325">
        <f>SUMIFS(HY!109:109,HY!$14:$14,FY!M$4)</f>
        <v>-69.016565268000008</v>
      </c>
      <c r="N65" s="325">
        <f>SUMIFS(HY!109:109,HY!$14:$14,FY!N$4)</f>
        <v>-72.46739353140002</v>
      </c>
      <c r="O65" s="325">
        <f>SUMIFS(HY!109:109,HY!$14:$14,FY!O$4)</f>
        <v>-76.090763207970014</v>
      </c>
      <c r="P65" s="325">
        <f>SUMIFS(HY!109:109,HY!$14:$14,FY!P$4)</f>
        <v>-79.895301368368536</v>
      </c>
      <c r="Q65" s="325">
        <f>SUMIFS(HY!109:109,HY!$14:$14,FY!Q$4)</f>
        <v>-83.890066436786952</v>
      </c>
    </row>
    <row r="66" spans="2:17" s="319" customFormat="1" x14ac:dyDescent="0.2">
      <c r="B66" s="234" t="s">
        <v>70</v>
      </c>
      <c r="C66" s="205"/>
      <c r="D66" s="234"/>
      <c r="E66" s="325"/>
      <c r="F66" s="325"/>
      <c r="G66" s="325"/>
      <c r="H66" s="325">
        <f>SUMIFS(HY!110:110,HY!$14:$14,FY!H$4)</f>
        <v>-13.2</v>
      </c>
      <c r="I66" s="325">
        <f>SUMIFS(HY!110:110,HY!$14:$14,FY!I$4)</f>
        <v>-14.5</v>
      </c>
      <c r="J66" s="325">
        <f>SUMIFS(HY!110:110,HY!$14:$14,FY!J$4)</f>
        <v>-16.666483272727277</v>
      </c>
      <c r="K66" s="325">
        <f>SUMIFS(HY!110:110,HY!$14:$14,FY!K$4)</f>
        <v>-17.499807436363639</v>
      </c>
      <c r="L66" s="325">
        <f>SUMIFS(HY!110:110,HY!$14:$14,FY!L$4)</f>
        <v>-18.374797808181821</v>
      </c>
      <c r="M66" s="325">
        <f>SUMIFS(HY!110:110,HY!$14:$14,FY!M$4)</f>
        <v>-19.293537698590914</v>
      </c>
      <c r="N66" s="325">
        <f>SUMIFS(HY!110:110,HY!$14:$14,FY!N$4)</f>
        <v>-20.258214583520456</v>
      </c>
      <c r="O66" s="325">
        <f>SUMIFS(HY!110:110,HY!$14:$14,FY!O$4)</f>
        <v>-21.271125312696483</v>
      </c>
      <c r="P66" s="325">
        <f>SUMIFS(HY!110:110,HY!$14:$14,FY!P$4)</f>
        <v>-22.334681578331306</v>
      </c>
      <c r="Q66" s="325">
        <f>SUMIFS(HY!110:110,HY!$14:$14,FY!Q$4)</f>
        <v>-23.451415657247875</v>
      </c>
    </row>
    <row r="67" spans="2:17" x14ac:dyDescent="0.2">
      <c r="B67" s="270" t="s">
        <v>67</v>
      </c>
      <c r="C67" s="260"/>
      <c r="D67" s="251"/>
      <c r="E67" s="254"/>
      <c r="F67" s="254"/>
      <c r="G67" s="254"/>
      <c r="H67" s="254" t="s">
        <v>67</v>
      </c>
      <c r="I67" s="254" t="s">
        <v>67</v>
      </c>
      <c r="J67" s="254" t="s">
        <v>67</v>
      </c>
      <c r="K67" s="254" t="s">
        <v>67</v>
      </c>
      <c r="L67" s="254" t="s">
        <v>67</v>
      </c>
      <c r="M67" s="254" t="s">
        <v>67</v>
      </c>
      <c r="N67" s="254" t="s">
        <v>67</v>
      </c>
      <c r="O67" s="254" t="s">
        <v>67</v>
      </c>
      <c r="P67" s="254" t="s">
        <v>67</v>
      </c>
      <c r="Q67" s="254" t="s">
        <v>67</v>
      </c>
    </row>
    <row r="68" spans="2:17" s="319" customFormat="1" x14ac:dyDescent="0.2">
      <c r="B68" s="328" t="s">
        <v>60</v>
      </c>
      <c r="C68" s="400"/>
      <c r="D68" s="328"/>
      <c r="E68" s="329"/>
      <c r="F68" s="329"/>
      <c r="G68" s="329"/>
      <c r="H68" s="329">
        <f>SUMIFS(HY!112:112,HY!$14:$14,FY!H$4)</f>
        <v>134.6</v>
      </c>
      <c r="I68" s="329">
        <f>SUMIFS(HY!112:112,HY!$14:$14,FY!I$4)</f>
        <v>145.4</v>
      </c>
      <c r="J68" s="329">
        <f>SUMIFS(HY!112:112,HY!$14:$14,FY!J$4)</f>
        <v>166.66483272727277</v>
      </c>
      <c r="K68" s="329">
        <f>SUMIFS(HY!112:112,HY!$14:$14,FY!K$4)</f>
        <v>174.99807436363636</v>
      </c>
      <c r="L68" s="329">
        <f>SUMIFS(HY!112:112,HY!$14:$14,FY!L$4)</f>
        <v>183.74797808181819</v>
      </c>
      <c r="M68" s="329">
        <f>SUMIFS(HY!112:112,HY!$14:$14,FY!M$4)</f>
        <v>192.93537698590916</v>
      </c>
      <c r="N68" s="329">
        <f>SUMIFS(HY!112:112,HY!$14:$14,FY!N$4)</f>
        <v>202.58214583520459</v>
      </c>
      <c r="O68" s="329">
        <f>SUMIFS(HY!112:112,HY!$14:$14,FY!O$4)</f>
        <v>212.71125312696486</v>
      </c>
      <c r="P68" s="329">
        <f>SUMIFS(HY!112:112,HY!$14:$14,FY!P$4)</f>
        <v>223.34681578331308</v>
      </c>
      <c r="Q68" s="329">
        <f>SUMIFS(HY!112:112,HY!$14:$14,FY!Q$4)</f>
        <v>234.51415657247873</v>
      </c>
    </row>
    <row r="69" spans="2:17" s="319" customFormat="1" x14ac:dyDescent="0.2">
      <c r="B69" s="234" t="s">
        <v>71</v>
      </c>
      <c r="C69" s="205"/>
      <c r="D69" s="234"/>
      <c r="E69" s="325"/>
      <c r="F69" s="325"/>
      <c r="G69" s="325"/>
      <c r="H69" s="325">
        <f>SUMIFS(HY!113:113,HY!$14:$14,FY!H$4)</f>
        <v>-73.400000000000006</v>
      </c>
      <c r="I69" s="325">
        <f>SUMIFS(HY!113:113,HY!$14:$14,FY!I$4)</f>
        <v>-84.9</v>
      </c>
      <c r="J69" s="325">
        <f>SUMIFS(HY!113:113,HY!$14:$14,FY!J$4)</f>
        <v>-95.846727320000014</v>
      </c>
      <c r="K69" s="325">
        <f>SUMIFS(HY!113:113,HY!$14:$14,FY!K$4)</f>
        <v>-99.384334236000001</v>
      </c>
      <c r="L69" s="325">
        <f>SUMIFS(HY!113:113,HY!$14:$14,FY!L$4)</f>
        <v>-104.34155094780002</v>
      </c>
      <c r="M69" s="325">
        <f>SUMIFS(HY!113:113,HY!$14:$14,FY!M$4)</f>
        <v>-109.54626849519002</v>
      </c>
      <c r="N69" s="325">
        <f>SUMIFS(HY!113:113,HY!$14:$14,FY!N$4)</f>
        <v>-115.01085111994954</v>
      </c>
      <c r="O69" s="325">
        <f>SUMIFS(HY!113:113,HY!$14:$14,FY!O$4)</f>
        <v>-120.74828095194702</v>
      </c>
      <c r="P69" s="325">
        <f>SUMIFS(HY!113:113,HY!$14:$14,FY!P$4)</f>
        <v>-126.77218889382436</v>
      </c>
      <c r="Q69" s="325">
        <f>SUMIFS(HY!113:113,HY!$14:$14,FY!Q$4)</f>
        <v>-133.096887049624</v>
      </c>
    </row>
    <row r="70" spans="2:17" x14ac:dyDescent="0.2">
      <c r="B70" s="270" t="s">
        <v>67</v>
      </c>
      <c r="C70" s="260"/>
      <c r="D70" s="251"/>
      <c r="E70" s="254"/>
      <c r="F70" s="254"/>
      <c r="G70" s="254"/>
      <c r="H70" s="254" t="s">
        <v>67</v>
      </c>
      <c r="I70" s="254" t="s">
        <v>67</v>
      </c>
      <c r="J70" s="254" t="s">
        <v>67</v>
      </c>
      <c r="K70" s="254" t="s">
        <v>67</v>
      </c>
      <c r="L70" s="254" t="s">
        <v>67</v>
      </c>
      <c r="M70" s="254" t="s">
        <v>67</v>
      </c>
      <c r="N70" s="254" t="s">
        <v>67</v>
      </c>
      <c r="O70" s="254" t="s">
        <v>67</v>
      </c>
      <c r="P70" s="254" t="s">
        <v>67</v>
      </c>
      <c r="Q70" s="254" t="s">
        <v>67</v>
      </c>
    </row>
    <row r="71" spans="2:17" s="319" customFormat="1" x14ac:dyDescent="0.2">
      <c r="B71" s="328" t="s">
        <v>72</v>
      </c>
      <c r="C71" s="400"/>
      <c r="D71" s="328"/>
      <c r="E71" s="329"/>
      <c r="F71" s="329"/>
      <c r="G71" s="329"/>
      <c r="H71" s="329">
        <f>SUMIFS(HY!115:115,HY!$14:$14,FY!H$4)</f>
        <v>61.2</v>
      </c>
      <c r="I71" s="329">
        <f>SUMIFS(HY!115:115,HY!$14:$14,FY!I$4)</f>
        <v>60.5</v>
      </c>
      <c r="J71" s="329">
        <f>SUMIFS(HY!115:115,HY!$14:$14,FY!J$4)</f>
        <v>70.818105407272725</v>
      </c>
      <c r="K71" s="329">
        <f>SUMIFS(HY!115:115,HY!$14:$14,FY!K$4)</f>
        <v>75.613740127636362</v>
      </c>
      <c r="L71" s="329">
        <f>SUMIFS(HY!115:115,HY!$14:$14,FY!L$4)</f>
        <v>79.406427134018188</v>
      </c>
      <c r="M71" s="329">
        <f>SUMIFS(HY!115:115,HY!$14:$14,FY!M$4)</f>
        <v>83.389108490719124</v>
      </c>
      <c r="N71" s="329">
        <f>SUMIFS(HY!115:115,HY!$14:$14,FY!N$4)</f>
        <v>87.57129471525505</v>
      </c>
      <c r="O71" s="329">
        <f>SUMIFS(HY!115:115,HY!$14:$14,FY!O$4)</f>
        <v>91.962972175017839</v>
      </c>
      <c r="P71" s="329">
        <f>SUMIFS(HY!115:115,HY!$14:$14,FY!P$4)</f>
        <v>96.574626889488712</v>
      </c>
      <c r="Q71" s="329">
        <f>SUMIFS(HY!115:115,HY!$14:$14,FY!Q$4)</f>
        <v>101.41726952285472</v>
      </c>
    </row>
    <row r="72" spans="2:17" s="319" customFormat="1" x14ac:dyDescent="0.2">
      <c r="B72" s="234" t="s">
        <v>73</v>
      </c>
      <c r="C72" s="205"/>
      <c r="D72" s="234"/>
      <c r="E72" s="325"/>
      <c r="F72" s="325"/>
      <c r="G72" s="325"/>
      <c r="H72" s="325">
        <f>SUMIFS(HY!116:116,HY!$14:$14,FY!H$4)</f>
        <v>1.1000000000000001</v>
      </c>
      <c r="I72" s="325">
        <f>SUMIFS(HY!116:116,HY!$14:$14,FY!I$4)</f>
        <v>0.5</v>
      </c>
      <c r="J72" s="325">
        <f>SUMIFS(HY!116:116,HY!$14:$14,FY!J$4)</f>
        <v>0.65358757932263822</v>
      </c>
      <c r="K72" s="325">
        <f>SUMIFS(HY!116:116,HY!$14:$14,FY!K$4)</f>
        <v>0.68626695828877016</v>
      </c>
      <c r="L72" s="325">
        <f>SUMIFS(HY!116:116,HY!$14:$14,FY!L$4)</f>
        <v>0.72058030620320856</v>
      </c>
      <c r="M72" s="325">
        <f>SUMIFS(HY!116:116,HY!$14:$14,FY!M$4)</f>
        <v>0.75660932151336913</v>
      </c>
      <c r="N72" s="325">
        <f>SUMIFS(HY!116:116,HY!$14:$14,FY!N$4)</f>
        <v>0.79443978758903755</v>
      </c>
      <c r="O72" s="325">
        <f>SUMIFS(HY!116:116,HY!$14:$14,FY!O$4)</f>
        <v>0.8341617769684897</v>
      </c>
      <c r="P72" s="325">
        <f>SUMIFS(HY!116:116,HY!$14:$14,FY!P$4)</f>
        <v>0.87586986581691395</v>
      </c>
      <c r="Q72" s="325">
        <f>SUMIFS(HY!116:116,HY!$14:$14,FY!Q$4)</f>
        <v>0.91966335910775965</v>
      </c>
    </row>
    <row r="73" spans="2:17" s="319" customFormat="1" x14ac:dyDescent="0.2">
      <c r="B73" s="234" t="s">
        <v>74</v>
      </c>
      <c r="C73" s="205"/>
      <c r="D73" s="234"/>
      <c r="E73" s="325"/>
      <c r="F73" s="325"/>
      <c r="G73" s="325"/>
      <c r="H73" s="325">
        <f>SUMIFS(HY!117:117,HY!$14:$14,FY!H$4)</f>
        <v>-55.099999999999994</v>
      </c>
      <c r="I73" s="325">
        <f>SUMIFS(HY!117:117,HY!$14:$14,FY!I$4)</f>
        <v>-68.2</v>
      </c>
      <c r="J73" s="325">
        <f>SUMIFS(HY!117:117,HY!$14:$14,FY!J$4)</f>
        <v>-55</v>
      </c>
      <c r="K73" s="325">
        <f>SUMIFS(HY!117:117,HY!$14:$14,FY!K$4)</f>
        <v>-54.7196393774</v>
      </c>
      <c r="L73" s="325">
        <f>SUMIFS(HY!117:117,HY!$14:$14,FY!L$4)</f>
        <v>-54.595953445950009</v>
      </c>
      <c r="M73" s="325">
        <f>SUMIFS(HY!117:117,HY!$14:$14,FY!M$4)</f>
        <v>-55.722062181397519</v>
      </c>
      <c r="N73" s="325">
        <f>SUMIFS(HY!117:117,HY!$14:$14,FY!N$4)</f>
        <v>-57.393963488373764</v>
      </c>
      <c r="O73" s="325">
        <f>SUMIFS(HY!117:117,HY!$14:$14,FY!O$4)</f>
        <v>-60.263661662792458</v>
      </c>
      <c r="P73" s="325">
        <f>SUMIFS(HY!117:117,HY!$14:$14,FY!P$4)</f>
        <v>-63.276844745932081</v>
      </c>
      <c r="Q73" s="325">
        <f>SUMIFS(HY!117:117,HY!$14:$14,FY!Q$4)</f>
        <v>-66.440686983228687</v>
      </c>
    </row>
    <row r="74" spans="2:17" x14ac:dyDescent="0.2">
      <c r="B74" s="270" t="s">
        <v>67</v>
      </c>
      <c r="C74" s="260"/>
      <c r="D74" s="251"/>
      <c r="E74" s="254"/>
      <c r="F74" s="254"/>
      <c r="G74" s="254"/>
      <c r="H74" s="254" t="s">
        <v>67</v>
      </c>
      <c r="I74" s="254" t="s">
        <v>67</v>
      </c>
      <c r="J74" s="254" t="s">
        <v>67</v>
      </c>
      <c r="K74" s="254" t="s">
        <v>67</v>
      </c>
      <c r="L74" s="254" t="s">
        <v>67</v>
      </c>
      <c r="M74" s="254" t="s">
        <v>67</v>
      </c>
      <c r="N74" s="254" t="s">
        <v>67</v>
      </c>
      <c r="O74" s="254" t="s">
        <v>67</v>
      </c>
      <c r="P74" s="254" t="s">
        <v>67</v>
      </c>
      <c r="Q74" s="254" t="s">
        <v>67</v>
      </c>
    </row>
    <row r="75" spans="2:17" s="319" customFormat="1" x14ac:dyDescent="0.2">
      <c r="B75" s="328" t="s">
        <v>75</v>
      </c>
      <c r="C75" s="400"/>
      <c r="D75" s="328"/>
      <c r="E75" s="329"/>
      <c r="F75" s="329"/>
      <c r="G75" s="329"/>
      <c r="H75" s="329">
        <f>SUMIFS(HY!119:119,HY!$14:$14,FY!H$4)</f>
        <v>7.2</v>
      </c>
      <c r="I75" s="329">
        <f>SUMIFS(HY!119:119,HY!$14:$14,FY!I$4)</f>
        <v>-7.1</v>
      </c>
      <c r="J75" s="329">
        <f>SUMIFS(HY!119:119,HY!$14:$14,FY!J$4)</f>
        <v>16.471692986595372</v>
      </c>
      <c r="K75" s="329">
        <f>SUMIFS(HY!119:119,HY!$14:$14,FY!K$4)</f>
        <v>21.580367708525142</v>
      </c>
      <c r="L75" s="329">
        <f>SUMIFS(HY!119:119,HY!$14:$14,FY!L$4)</f>
        <v>25.531053994271389</v>
      </c>
      <c r="M75" s="329">
        <f>SUMIFS(HY!119:119,HY!$14:$14,FY!M$4)</f>
        <v>28.423655630834983</v>
      </c>
      <c r="N75" s="329">
        <f>SUMIFS(HY!119:119,HY!$14:$14,FY!N$4)</f>
        <v>30.971771014470328</v>
      </c>
      <c r="O75" s="329">
        <f>SUMIFS(HY!119:119,HY!$14:$14,FY!O$4)</f>
        <v>32.533472289193867</v>
      </c>
      <c r="P75" s="329">
        <f>SUMIFS(HY!119:119,HY!$14:$14,FY!P$4)</f>
        <v>34.173652009373534</v>
      </c>
      <c r="Q75" s="329">
        <f>SUMIFS(HY!119:119,HY!$14:$14,FY!Q$4)</f>
        <v>35.896245898733802</v>
      </c>
    </row>
    <row r="76" spans="2:17" s="319" customFormat="1" x14ac:dyDescent="0.2">
      <c r="B76" s="234" t="s">
        <v>76</v>
      </c>
      <c r="C76" s="205"/>
      <c r="D76" s="234"/>
      <c r="E76" s="325"/>
      <c r="F76" s="325"/>
      <c r="G76" s="325"/>
      <c r="H76" s="325">
        <f>SUMIFS(HY!120:120,HY!$14:$14,FY!H$4)</f>
        <v>-4.0999999999999996</v>
      </c>
      <c r="I76" s="325">
        <f>SUMIFS(HY!120:120,HY!$14:$14,FY!I$4)</f>
        <v>-12.9</v>
      </c>
      <c r="J76" s="325">
        <f>SUMIFS(HY!120:120,HY!$14:$14,FY!J$4)</f>
        <v>-10.169735927943957</v>
      </c>
      <c r="K76" s="325">
        <f>SUMIFS(HY!120:120,HY!$14:$14,FY!K$4)</f>
        <v>-10.166735968871576</v>
      </c>
      <c r="L76" s="325">
        <f>SUMIFS(HY!120:120,HY!$14:$14,FY!L$4)</f>
        <v>-10.26873569928852</v>
      </c>
      <c r="M76" s="325">
        <f>SUMIFS(HY!120:120,HY!$14:$14,FY!M$4)</f>
        <v>-10.405165385407955</v>
      </c>
      <c r="N76" s="325">
        <f>SUMIFS(HY!120:120,HY!$14:$14,FY!N$4)</f>
        <v>-10.476624125632277</v>
      </c>
      <c r="O76" s="325">
        <f>SUMIFS(HY!120:120,HY!$14:$14,FY!O$4)</f>
        <v>-10.643918465975116</v>
      </c>
      <c r="P76" s="325">
        <f>SUMIFS(HY!120:120,HY!$14:$14,FY!P$4)</f>
        <v>-10.892873145586211</v>
      </c>
      <c r="Q76" s="325">
        <f>SUMIFS(HY!120:120,HY!$14:$14,FY!Q$4)</f>
        <v>-11.212503319576792</v>
      </c>
    </row>
    <row r="77" spans="2:17" s="319" customFormat="1" x14ac:dyDescent="0.2">
      <c r="B77" s="234" t="s">
        <v>77</v>
      </c>
      <c r="C77" s="205"/>
      <c r="D77" s="234"/>
      <c r="E77" s="325"/>
      <c r="F77" s="325"/>
      <c r="G77" s="325"/>
      <c r="H77" s="325">
        <f>SUMIFS(HY!121:121,HY!$14:$14,FY!H$4)</f>
        <v>-2.9000000000000004</v>
      </c>
      <c r="I77" s="325">
        <f>SUMIFS(HY!121:121,HY!$14:$14,FY!I$4)</f>
        <v>-0.80000000000000016</v>
      </c>
      <c r="J77" s="325">
        <f>SUMIFS(HY!121:121,HY!$14:$14,FY!J$4)</f>
        <v>-1.131516295836928</v>
      </c>
      <c r="K77" s="325">
        <f>SUMIFS(HY!121:121,HY!$14:$14,FY!K$4)</f>
        <v>-2.0722527452691315</v>
      </c>
      <c r="L77" s="325">
        <f>SUMIFS(HY!121:121,HY!$14:$14,FY!L$4)</f>
        <v>-2.9181680516125295</v>
      </c>
      <c r="M77" s="325">
        <f>SUMIFS(HY!121:121,HY!$14:$14,FY!M$4)</f>
        <v>-2.7145078603249502</v>
      </c>
      <c r="N77" s="325">
        <f>SUMIFS(HY!121:121,HY!$14:$14,FY!N$4)</f>
        <v>-2.4678318960215213</v>
      </c>
      <c r="O77" s="325">
        <f>SUMIFS(HY!121:121,HY!$14:$14,FY!O$4)</f>
        <v>-2.199879652318053</v>
      </c>
      <c r="P77" s="325">
        <f>SUMIFS(HY!121:121,HY!$14:$14,FY!P$4)</f>
        <v>-1.9029678381200241</v>
      </c>
      <c r="Q77" s="325">
        <f>SUMIFS(HY!121:121,HY!$14:$14,FY!Q$4)</f>
        <v>-1.5930165882717675</v>
      </c>
    </row>
    <row r="78" spans="2:17" x14ac:dyDescent="0.2">
      <c r="B78" s="270" t="s">
        <v>67</v>
      </c>
      <c r="C78" s="260"/>
      <c r="D78" s="251"/>
      <c r="E78" s="254"/>
      <c r="F78" s="254"/>
      <c r="G78" s="254"/>
      <c r="H78" s="254" t="s">
        <v>67</v>
      </c>
      <c r="I78" s="254" t="s">
        <v>67</v>
      </c>
      <c r="J78" s="254" t="s">
        <v>67</v>
      </c>
      <c r="K78" s="254" t="s">
        <v>67</v>
      </c>
      <c r="L78" s="254" t="s">
        <v>67</v>
      </c>
      <c r="M78" s="254" t="s">
        <v>67</v>
      </c>
      <c r="N78" s="254" t="s">
        <v>67</v>
      </c>
      <c r="O78" s="254" t="s">
        <v>67</v>
      </c>
      <c r="P78" s="254" t="s">
        <v>67</v>
      </c>
      <c r="Q78" s="254" t="s">
        <v>67</v>
      </c>
    </row>
    <row r="79" spans="2:17" s="319" customFormat="1" x14ac:dyDescent="0.2">
      <c r="B79" s="328" t="s">
        <v>78</v>
      </c>
      <c r="C79" s="400"/>
      <c r="D79" s="328"/>
      <c r="E79" s="329"/>
      <c r="F79" s="329"/>
      <c r="G79" s="329"/>
      <c r="H79" s="329">
        <f>SUMIFS(HY!123:123,HY!$14:$14,FY!H$4)</f>
        <v>0.20000000000000007</v>
      </c>
      <c r="I79" s="329">
        <f>SUMIFS(HY!123:123,HY!$14:$14,FY!I$4)</f>
        <v>-20.8</v>
      </c>
      <c r="J79" s="329">
        <f>SUMIFS(HY!123:123,HY!$14:$14,FY!J$4)</f>
        <v>5.1704407628144873</v>
      </c>
      <c r="K79" s="329">
        <f>SUMIFS(HY!123:123,HY!$14:$14,FY!K$4)</f>
        <v>9.341378994384435</v>
      </c>
      <c r="L79" s="329">
        <f>SUMIFS(HY!123:123,HY!$14:$14,FY!L$4)</f>
        <v>12.344150243370338</v>
      </c>
      <c r="M79" s="329">
        <f>SUMIFS(HY!123:123,HY!$14:$14,FY!M$4)</f>
        <v>15.30398238510208</v>
      </c>
      <c r="N79" s="329">
        <f>SUMIFS(HY!123:123,HY!$14:$14,FY!N$4)</f>
        <v>18.027314992816528</v>
      </c>
      <c r="O79" s="329">
        <f>SUMIFS(HY!123:123,HY!$14:$14,FY!O$4)</f>
        <v>19.689674170900702</v>
      </c>
      <c r="P79" s="329">
        <f>SUMIFS(HY!123:123,HY!$14:$14,FY!P$4)</f>
        <v>21.377811025667299</v>
      </c>
      <c r="Q79" s="329">
        <f>SUMIFS(HY!123:123,HY!$14:$14,FY!Q$4)</f>
        <v>23.090725990885243</v>
      </c>
    </row>
    <row r="80" spans="2:17" s="319" customFormat="1" x14ac:dyDescent="0.2">
      <c r="B80" s="234" t="s">
        <v>79</v>
      </c>
      <c r="C80" s="205"/>
      <c r="D80" s="234"/>
      <c r="E80" s="325"/>
      <c r="F80" s="325"/>
      <c r="G80" s="325"/>
      <c r="H80" s="325">
        <f>SUMIFS(HY!124:124,HY!$14:$14,FY!H$4)</f>
        <v>4.5999999999999996</v>
      </c>
      <c r="I80" s="325">
        <f>SUMIFS(HY!124:124,HY!$14:$14,FY!I$4)</f>
        <v>0.1</v>
      </c>
      <c r="J80" s="325">
        <f>SUMIFS(HY!124:124,HY!$14:$14,FY!J$4)</f>
        <v>-1.5511322288443461</v>
      </c>
      <c r="K80" s="325">
        <f>SUMIFS(HY!124:124,HY!$14:$14,FY!K$4)</f>
        <v>-2.80241369831533</v>
      </c>
      <c r="L80" s="325">
        <f>SUMIFS(HY!124:124,HY!$14:$14,FY!L$4)</f>
        <v>-3.7032450730111011</v>
      </c>
      <c r="M80" s="325">
        <f>SUMIFS(HY!124:124,HY!$14:$14,FY!M$4)</f>
        <v>-4.591194715530623</v>
      </c>
      <c r="N80" s="325">
        <f>SUMIFS(HY!124:124,HY!$14:$14,FY!N$4)</f>
        <v>-5.408194497844959</v>
      </c>
      <c r="O80" s="325">
        <f>SUMIFS(HY!124:124,HY!$14:$14,FY!O$4)</f>
        <v>-5.9069022512702105</v>
      </c>
      <c r="P80" s="325">
        <f>SUMIFS(HY!124:124,HY!$14:$14,FY!P$4)</f>
        <v>-6.41334330770019</v>
      </c>
      <c r="Q80" s="325">
        <f>SUMIFS(HY!124:124,HY!$14:$14,FY!Q$4)</f>
        <v>-6.9272177972655733</v>
      </c>
    </row>
    <row r="81" spans="2:17" x14ac:dyDescent="0.2">
      <c r="B81" s="270" t="s">
        <v>67</v>
      </c>
      <c r="C81" s="260"/>
      <c r="D81" s="251"/>
      <c r="E81" s="254"/>
      <c r="F81" s="254"/>
      <c r="G81" s="254"/>
      <c r="H81" s="254" t="s">
        <v>67</v>
      </c>
      <c r="I81" s="254" t="s">
        <v>67</v>
      </c>
      <c r="J81" s="254" t="s">
        <v>67</v>
      </c>
      <c r="K81" s="254" t="s">
        <v>67</v>
      </c>
      <c r="L81" s="254" t="s">
        <v>67</v>
      </c>
      <c r="M81" s="254" t="s">
        <v>67</v>
      </c>
      <c r="N81" s="254" t="s">
        <v>67</v>
      </c>
      <c r="O81" s="254" t="s">
        <v>67</v>
      </c>
      <c r="P81" s="254" t="s">
        <v>67</v>
      </c>
      <c r="Q81" s="254" t="s">
        <v>67</v>
      </c>
    </row>
    <row r="82" spans="2:17" s="319" customFormat="1" x14ac:dyDescent="0.2">
      <c r="B82" s="328" t="s">
        <v>80</v>
      </c>
      <c r="C82" s="400"/>
      <c r="D82" s="328"/>
      <c r="E82" s="329"/>
      <c r="F82" s="329"/>
      <c r="G82" s="329"/>
      <c r="H82" s="329">
        <f>SUMIFS(HY!126:126,HY!$14:$14,FY!H$4)</f>
        <v>4.8</v>
      </c>
      <c r="I82" s="329">
        <f>SUMIFS(HY!126:126,HY!$14:$14,FY!I$4)</f>
        <v>-20.7</v>
      </c>
      <c r="J82" s="329">
        <f>SUMIFS(HY!126:126,HY!$14:$14,FY!J$4)</f>
        <v>3.6193085339701412</v>
      </c>
      <c r="K82" s="329">
        <f>SUMIFS(HY!126:126,HY!$14:$14,FY!K$4)</f>
        <v>6.5389652960691036</v>
      </c>
      <c r="L82" s="329">
        <f>SUMIFS(HY!126:126,HY!$14:$14,FY!L$4)</f>
        <v>8.6409051703592379</v>
      </c>
      <c r="M82" s="329">
        <f>SUMIFS(HY!126:126,HY!$14:$14,FY!M$4)</f>
        <v>10.712787669571457</v>
      </c>
      <c r="N82" s="329">
        <f>SUMIFS(HY!126:126,HY!$14:$14,FY!N$4)</f>
        <v>12.619120494971572</v>
      </c>
      <c r="O82" s="329">
        <f>SUMIFS(HY!126:126,HY!$14:$14,FY!O$4)</f>
        <v>13.782771919630491</v>
      </c>
      <c r="P82" s="329">
        <f>SUMIFS(HY!126:126,HY!$14:$14,FY!P$4)</f>
        <v>14.964467717967109</v>
      </c>
      <c r="Q82" s="329">
        <f>SUMIFS(HY!126:126,HY!$14:$14,FY!Q$4)</f>
        <v>16.16350819361967</v>
      </c>
    </row>
    <row r="83" spans="2:17" x14ac:dyDescent="0.2">
      <c r="B83" s="326" t="s">
        <v>81</v>
      </c>
      <c r="D83" s="334"/>
      <c r="E83" s="325"/>
      <c r="F83" s="325"/>
      <c r="G83" s="325"/>
      <c r="H83" s="566">
        <f>SUMIFS(HY!128:128,HY!$14:$14,FY!H$4)</f>
        <v>0.79052287674757649</v>
      </c>
      <c r="I83" s="566">
        <f>SUMIFS(HY!128:128,HY!$14:$14,FY!I$4)</f>
        <v>-1.9692282705377577</v>
      </c>
      <c r="J83" s="566">
        <f>SUMIFS(HY!128:128,HY!$14:$14,FY!J$4)</f>
        <v>0.34325694206963459</v>
      </c>
      <c r="K83" s="566">
        <f>SUMIFS(HY!128:128,HY!$14:$14,FY!K$4)</f>
        <v>0.61726717477967652</v>
      </c>
      <c r="L83" s="566">
        <f>SUMIFS(HY!128:128,HY!$14:$14,FY!L$4)</f>
        <v>0.81110894823154489</v>
      </c>
      <c r="M83" s="566">
        <f>SUMIFS(HY!128:128,HY!$14:$14,FY!M$4)</f>
        <v>1.0001776035555832</v>
      </c>
      <c r="N83" s="566">
        <f>SUMIFS(HY!128:128,HY!$14:$14,FY!N$4)</f>
        <v>1.1716320210461084</v>
      </c>
      <c r="O83" s="566">
        <f>SUMIFS(HY!128:128,HY!$14:$14,FY!O$4)</f>
        <v>1.2725968463710837</v>
      </c>
      <c r="P83" s="566">
        <f>SUMIFS(HY!128:128,HY!$14:$14,FY!P$4)</f>
        <v>1.3741043012215211</v>
      </c>
      <c r="Q83" s="566">
        <f>SUMIFS(HY!128:128,HY!$14:$14,FY!Q$4)</f>
        <v>1.4760831422393474</v>
      </c>
    </row>
    <row r="84" spans="2:17" s="319" customFormat="1" x14ac:dyDescent="0.2">
      <c r="B84" s="421"/>
      <c r="C84" s="400"/>
      <c r="D84" s="328"/>
      <c r="E84" s="329"/>
      <c r="F84" s="329"/>
      <c r="G84" s="329"/>
      <c r="H84" s="329"/>
      <c r="I84" s="329"/>
      <c r="J84" s="329"/>
      <c r="K84" s="329"/>
      <c r="L84" s="329"/>
      <c r="M84" s="329"/>
      <c r="N84" s="329"/>
      <c r="O84" s="329"/>
      <c r="P84" s="329"/>
      <c r="Q84" s="329"/>
    </row>
    <row r="85" spans="2:17" s="583" customFormat="1" x14ac:dyDescent="0.2">
      <c r="B85" s="584" t="s">
        <v>1309</v>
      </c>
      <c r="C85" s="582"/>
      <c r="D85" s="585"/>
      <c r="E85" s="586"/>
      <c r="F85" s="586"/>
      <c r="G85" s="586"/>
      <c r="H85" s="586"/>
      <c r="I85" s="586"/>
      <c r="J85" s="586"/>
      <c r="K85" s="586"/>
      <c r="L85" s="586"/>
      <c r="M85" s="586"/>
      <c r="N85" s="586"/>
      <c r="O85" s="586"/>
      <c r="P85" s="586"/>
      <c r="Q85" s="586"/>
    </row>
    <row r="86" spans="2:17" s="319" customFormat="1" x14ac:dyDescent="0.2">
      <c r="B86" s="421"/>
      <c r="C86" s="400"/>
      <c r="D86" s="328"/>
      <c r="E86" s="329"/>
      <c r="F86" s="329"/>
      <c r="G86" s="329"/>
      <c r="H86" s="329"/>
      <c r="I86" s="329"/>
      <c r="J86" s="329"/>
      <c r="K86" s="329"/>
      <c r="L86" s="329"/>
      <c r="M86" s="329"/>
      <c r="N86" s="329"/>
      <c r="O86" s="329"/>
      <c r="P86" s="329"/>
      <c r="Q86" s="329"/>
    </row>
    <row r="87" spans="2:17" s="319" customFormat="1" x14ac:dyDescent="0.2">
      <c r="B87" s="421"/>
      <c r="C87" s="400"/>
      <c r="D87" s="328"/>
      <c r="E87" s="329"/>
      <c r="F87" s="329"/>
      <c r="G87" s="329"/>
      <c r="H87" s="329"/>
      <c r="I87" s="329"/>
      <c r="J87" s="329"/>
      <c r="K87" s="329"/>
      <c r="L87" s="329"/>
      <c r="M87" s="329"/>
      <c r="N87" s="329"/>
      <c r="O87" s="329"/>
      <c r="P87" s="329"/>
      <c r="Q87" s="329"/>
    </row>
    <row r="88" spans="2:17" s="319" customFormat="1" x14ac:dyDescent="0.2">
      <c r="B88" s="421" t="s">
        <v>1175</v>
      </c>
      <c r="C88" s="400"/>
      <c r="D88" s="328"/>
      <c r="E88" s="329"/>
      <c r="F88" s="329"/>
      <c r="G88" s="329"/>
      <c r="H88" s="329"/>
      <c r="I88" s="329"/>
      <c r="J88" s="329"/>
      <c r="K88" s="329"/>
      <c r="L88" s="329"/>
      <c r="M88" s="329"/>
      <c r="N88" s="329"/>
      <c r="O88" s="329"/>
      <c r="P88" s="329"/>
      <c r="Q88" s="329"/>
    </row>
    <row r="89" spans="2:17" s="319" customFormat="1" x14ac:dyDescent="0.2">
      <c r="B89" s="334" t="s">
        <v>35</v>
      </c>
      <c r="C89" s="317" t="s">
        <v>37</v>
      </c>
      <c r="D89" s="328"/>
      <c r="E89" s="329"/>
      <c r="F89" s="329"/>
      <c r="G89" s="329"/>
      <c r="H89" s="325">
        <f t="shared" ref="H89:Q89" si="15">H12</f>
        <v>1420.4</v>
      </c>
      <c r="I89" s="325">
        <f t="shared" si="15"/>
        <v>1594.7</v>
      </c>
      <c r="J89" s="325">
        <f t="shared" si="15"/>
        <v>1722.674</v>
      </c>
      <c r="K89" s="325">
        <f t="shared" si="15"/>
        <v>1808.8077000000003</v>
      </c>
      <c r="L89" s="325">
        <f t="shared" si="15"/>
        <v>1899.2480850000002</v>
      </c>
      <c r="M89" s="325">
        <f t="shared" si="15"/>
        <v>1994.2104892500006</v>
      </c>
      <c r="N89" s="325">
        <f t="shared" si="15"/>
        <v>2093.9210137125006</v>
      </c>
      <c r="O89" s="325">
        <f t="shared" si="15"/>
        <v>2198.6170643981259</v>
      </c>
      <c r="P89" s="325">
        <f t="shared" si="15"/>
        <v>2308.547917618032</v>
      </c>
      <c r="Q89" s="325">
        <f t="shared" si="15"/>
        <v>2423.9753134989337</v>
      </c>
    </row>
    <row r="90" spans="2:17" s="319" customFormat="1" x14ac:dyDescent="0.2">
      <c r="B90" s="219" t="s">
        <v>43</v>
      </c>
      <c r="C90" s="317" t="s">
        <v>37</v>
      </c>
      <c r="D90" s="328"/>
      <c r="E90" s="329"/>
      <c r="F90" s="329"/>
      <c r="G90" s="329"/>
      <c r="H90" s="325">
        <f t="shared" ref="H90:Q90" si="16">H20</f>
        <v>147.80000000000001</v>
      </c>
      <c r="I90" s="325">
        <f t="shared" si="16"/>
        <v>158.1</v>
      </c>
      <c r="J90" s="325">
        <f t="shared" si="16"/>
        <v>183.33131600000002</v>
      </c>
      <c r="K90" s="325">
        <f t="shared" si="16"/>
        <v>192.49788180000002</v>
      </c>
      <c r="L90" s="325">
        <f t="shared" si="16"/>
        <v>202.12277589000001</v>
      </c>
      <c r="M90" s="325">
        <f t="shared" si="16"/>
        <v>212.22891468450007</v>
      </c>
      <c r="N90" s="325">
        <f t="shared" si="16"/>
        <v>222.84036041872503</v>
      </c>
      <c r="O90" s="325">
        <f t="shared" si="16"/>
        <v>233.98237843966135</v>
      </c>
      <c r="P90" s="325">
        <f t="shared" si="16"/>
        <v>245.6814973616444</v>
      </c>
      <c r="Q90" s="325">
        <f t="shared" si="16"/>
        <v>257.9655722297266</v>
      </c>
    </row>
    <row r="91" spans="2:17" s="319" customFormat="1" x14ac:dyDescent="0.2">
      <c r="B91" s="397" t="s">
        <v>1308</v>
      </c>
      <c r="C91" s="400" t="s">
        <v>39</v>
      </c>
      <c r="D91" s="328"/>
      <c r="E91" s="329"/>
      <c r="F91" s="329"/>
      <c r="G91" s="329"/>
      <c r="H91" s="335">
        <f t="shared" ref="H91:Q91" si="17">H21</f>
        <v>0.10405519571951563</v>
      </c>
      <c r="I91" s="335">
        <f t="shared" si="17"/>
        <v>9.9140904245312592E-2</v>
      </c>
      <c r="J91" s="335">
        <f t="shared" si="17"/>
        <v>0.10642252451711701</v>
      </c>
      <c r="K91" s="335">
        <f t="shared" si="17"/>
        <v>0.10642252451711698</v>
      </c>
      <c r="L91" s="335">
        <f t="shared" si="17"/>
        <v>0.10642252451711699</v>
      </c>
      <c r="M91" s="335">
        <f t="shared" si="17"/>
        <v>0.10642252451711699</v>
      </c>
      <c r="N91" s="335">
        <f t="shared" si="17"/>
        <v>0.10642252451711698</v>
      </c>
      <c r="O91" s="335">
        <f t="shared" si="17"/>
        <v>0.10642252451711699</v>
      </c>
      <c r="P91" s="335">
        <f t="shared" si="17"/>
        <v>0.10642252451711699</v>
      </c>
      <c r="Q91" s="335">
        <f t="shared" si="17"/>
        <v>0.10642252451711699</v>
      </c>
    </row>
    <row r="92" spans="2:17" s="319" customFormat="1" x14ac:dyDescent="0.2">
      <c r="B92" s="421"/>
      <c r="C92" s="400"/>
      <c r="D92" s="328"/>
      <c r="E92" s="329"/>
      <c r="F92" s="329"/>
      <c r="G92" s="329"/>
      <c r="H92" s="329"/>
      <c r="I92" s="329"/>
      <c r="J92" s="329"/>
      <c r="K92" s="329"/>
      <c r="L92" s="329"/>
      <c r="M92" s="329"/>
      <c r="N92" s="329"/>
      <c r="O92" s="329"/>
      <c r="P92" s="329"/>
      <c r="Q92" s="329"/>
    </row>
    <row r="93" spans="2:17" s="319" customFormat="1" x14ac:dyDescent="0.2">
      <c r="B93" s="421" t="s">
        <v>1307</v>
      </c>
      <c r="C93" s="400"/>
      <c r="D93" s="328"/>
      <c r="E93" s="329"/>
      <c r="F93" s="329"/>
      <c r="G93" s="329"/>
      <c r="H93" s="329"/>
      <c r="I93" s="329"/>
      <c r="J93" s="329"/>
      <c r="K93" s="329"/>
      <c r="L93" s="329"/>
      <c r="M93" s="329"/>
      <c r="N93" s="329"/>
      <c r="O93" s="329"/>
      <c r="P93" s="329"/>
      <c r="Q93" s="329"/>
    </row>
    <row r="94" spans="2:17" s="319" customFormat="1" x14ac:dyDescent="0.2">
      <c r="B94" s="328" t="str">
        <f t="shared" ref="B94:B102" si="18">B68</f>
        <v>Revenue</v>
      </c>
      <c r="C94" s="400" t="s">
        <v>37</v>
      </c>
      <c r="D94" s="328"/>
      <c r="E94" s="329"/>
      <c r="F94" s="329"/>
      <c r="G94" s="329"/>
      <c r="H94" s="329">
        <f t="shared" ref="H94:Q94" si="19">H68</f>
        <v>134.6</v>
      </c>
      <c r="I94" s="329">
        <f t="shared" si="19"/>
        <v>145.4</v>
      </c>
      <c r="J94" s="329">
        <f t="shared" si="19"/>
        <v>166.66483272727277</v>
      </c>
      <c r="K94" s="329">
        <f t="shared" si="19"/>
        <v>174.99807436363636</v>
      </c>
      <c r="L94" s="329">
        <f t="shared" si="19"/>
        <v>183.74797808181819</v>
      </c>
      <c r="M94" s="329">
        <f t="shared" si="19"/>
        <v>192.93537698590916</v>
      </c>
      <c r="N94" s="329">
        <f t="shared" si="19"/>
        <v>202.58214583520459</v>
      </c>
      <c r="O94" s="329">
        <f t="shared" si="19"/>
        <v>212.71125312696486</v>
      </c>
      <c r="P94" s="329">
        <f t="shared" si="19"/>
        <v>223.34681578331308</v>
      </c>
      <c r="Q94" s="329">
        <f t="shared" si="19"/>
        <v>234.51415657247873</v>
      </c>
    </row>
    <row r="95" spans="2:17" s="319" customFormat="1" x14ac:dyDescent="0.2">
      <c r="B95" s="234" t="str">
        <f t="shared" si="18"/>
        <v>Cost of Sales</v>
      </c>
      <c r="C95" s="205" t="s">
        <v>37</v>
      </c>
      <c r="D95" s="234"/>
      <c r="E95" s="325"/>
      <c r="F95" s="325"/>
      <c r="G95" s="325"/>
      <c r="H95" s="325">
        <f t="shared" ref="H95:Q95" si="20">H69</f>
        <v>-73.400000000000006</v>
      </c>
      <c r="I95" s="325">
        <f t="shared" si="20"/>
        <v>-84.9</v>
      </c>
      <c r="J95" s="325">
        <f t="shared" si="20"/>
        <v>-95.846727320000014</v>
      </c>
      <c r="K95" s="325">
        <f t="shared" si="20"/>
        <v>-99.384334236000001</v>
      </c>
      <c r="L95" s="325">
        <f t="shared" si="20"/>
        <v>-104.34155094780002</v>
      </c>
      <c r="M95" s="325">
        <f t="shared" si="20"/>
        <v>-109.54626849519002</v>
      </c>
      <c r="N95" s="325">
        <f t="shared" si="20"/>
        <v>-115.01085111994954</v>
      </c>
      <c r="O95" s="325">
        <f t="shared" si="20"/>
        <v>-120.74828095194702</v>
      </c>
      <c r="P95" s="325">
        <f t="shared" si="20"/>
        <v>-126.77218889382436</v>
      </c>
      <c r="Q95" s="325">
        <f t="shared" si="20"/>
        <v>-133.096887049624</v>
      </c>
    </row>
    <row r="96" spans="2:17" hidden="1" outlineLevel="1" x14ac:dyDescent="0.2">
      <c r="B96" s="270" t="str">
        <f t="shared" si="18"/>
        <v>----------</v>
      </c>
      <c r="C96" s="254" t="s">
        <v>67</v>
      </c>
      <c r="D96" s="251"/>
      <c r="E96" s="254"/>
      <c r="F96" s="254"/>
      <c r="G96" s="254"/>
      <c r="H96" s="254" t="str">
        <f t="shared" ref="H96:Q96" si="21">H70</f>
        <v>----------</v>
      </c>
      <c r="I96" s="254" t="str">
        <f t="shared" si="21"/>
        <v>----------</v>
      </c>
      <c r="J96" s="254" t="str">
        <f t="shared" si="21"/>
        <v>----------</v>
      </c>
      <c r="K96" s="254" t="str">
        <f t="shared" si="21"/>
        <v>----------</v>
      </c>
      <c r="L96" s="254" t="str">
        <f t="shared" si="21"/>
        <v>----------</v>
      </c>
      <c r="M96" s="254" t="str">
        <f t="shared" si="21"/>
        <v>----------</v>
      </c>
      <c r="N96" s="254" t="str">
        <f t="shared" si="21"/>
        <v>----------</v>
      </c>
      <c r="O96" s="254" t="str">
        <f t="shared" si="21"/>
        <v>----------</v>
      </c>
      <c r="P96" s="254" t="str">
        <f t="shared" si="21"/>
        <v>----------</v>
      </c>
      <c r="Q96" s="254" t="str">
        <f t="shared" si="21"/>
        <v>----------</v>
      </c>
    </row>
    <row r="97" spans="2:17" s="319" customFormat="1" collapsed="1" x14ac:dyDescent="0.2">
      <c r="B97" s="328" t="str">
        <f t="shared" si="18"/>
        <v>Gross Profit</v>
      </c>
      <c r="C97" s="400" t="s">
        <v>37</v>
      </c>
      <c r="D97" s="328"/>
      <c r="E97" s="329"/>
      <c r="F97" s="329"/>
      <c r="G97" s="329"/>
      <c r="H97" s="329">
        <f t="shared" ref="H97:Q97" si="22">H71</f>
        <v>61.2</v>
      </c>
      <c r="I97" s="329">
        <f t="shared" si="22"/>
        <v>60.5</v>
      </c>
      <c r="J97" s="329">
        <f t="shared" si="22"/>
        <v>70.818105407272725</v>
      </c>
      <c r="K97" s="329">
        <f t="shared" si="22"/>
        <v>75.613740127636362</v>
      </c>
      <c r="L97" s="329">
        <f t="shared" si="22"/>
        <v>79.406427134018188</v>
      </c>
      <c r="M97" s="329">
        <f t="shared" si="22"/>
        <v>83.389108490719124</v>
      </c>
      <c r="N97" s="329">
        <f t="shared" si="22"/>
        <v>87.57129471525505</v>
      </c>
      <c r="O97" s="329">
        <f t="shared" si="22"/>
        <v>91.962972175017839</v>
      </c>
      <c r="P97" s="329">
        <f t="shared" si="22"/>
        <v>96.574626889488712</v>
      </c>
      <c r="Q97" s="329">
        <f t="shared" si="22"/>
        <v>101.41726952285472</v>
      </c>
    </row>
    <row r="98" spans="2:17" s="319" customFormat="1" x14ac:dyDescent="0.2">
      <c r="B98" s="234" t="str">
        <f t="shared" si="18"/>
        <v>Other Income</v>
      </c>
      <c r="C98" s="205" t="s">
        <v>37</v>
      </c>
      <c r="D98" s="234"/>
      <c r="E98" s="325"/>
      <c r="F98" s="325"/>
      <c r="G98" s="325"/>
      <c r="H98" s="325">
        <f t="shared" ref="H98:Q98" si="23">H72</f>
        <v>1.1000000000000001</v>
      </c>
      <c r="I98" s="325">
        <f t="shared" si="23"/>
        <v>0.5</v>
      </c>
      <c r="J98" s="325">
        <f t="shared" si="23"/>
        <v>0.65358757932263822</v>
      </c>
      <c r="K98" s="325">
        <f t="shared" si="23"/>
        <v>0.68626695828877016</v>
      </c>
      <c r="L98" s="325">
        <f t="shared" si="23"/>
        <v>0.72058030620320856</v>
      </c>
      <c r="M98" s="325">
        <f t="shared" si="23"/>
        <v>0.75660932151336913</v>
      </c>
      <c r="N98" s="325">
        <f t="shared" si="23"/>
        <v>0.79443978758903755</v>
      </c>
      <c r="O98" s="325">
        <f t="shared" si="23"/>
        <v>0.8341617769684897</v>
      </c>
      <c r="P98" s="325">
        <f t="shared" si="23"/>
        <v>0.87586986581691395</v>
      </c>
      <c r="Q98" s="325">
        <f t="shared" si="23"/>
        <v>0.91966335910775965</v>
      </c>
    </row>
    <row r="99" spans="2:17" s="319" customFormat="1" x14ac:dyDescent="0.2">
      <c r="B99" s="234" t="str">
        <f t="shared" si="18"/>
        <v>Opex</v>
      </c>
      <c r="C99" s="205" t="s">
        <v>37</v>
      </c>
      <c r="D99" s="234"/>
      <c r="E99" s="325"/>
      <c r="F99" s="325"/>
      <c r="G99" s="325"/>
      <c r="H99" s="325">
        <f t="shared" ref="H99:Q99" si="24">H73</f>
        <v>-55.099999999999994</v>
      </c>
      <c r="I99" s="325">
        <f t="shared" si="24"/>
        <v>-68.2</v>
      </c>
      <c r="J99" s="325">
        <f t="shared" si="24"/>
        <v>-55</v>
      </c>
      <c r="K99" s="325">
        <f t="shared" si="24"/>
        <v>-54.7196393774</v>
      </c>
      <c r="L99" s="325">
        <f t="shared" si="24"/>
        <v>-54.595953445950009</v>
      </c>
      <c r="M99" s="325">
        <f t="shared" si="24"/>
        <v>-55.722062181397519</v>
      </c>
      <c r="N99" s="325">
        <f t="shared" si="24"/>
        <v>-57.393963488373764</v>
      </c>
      <c r="O99" s="325">
        <f t="shared" si="24"/>
        <v>-60.263661662792458</v>
      </c>
      <c r="P99" s="325">
        <f t="shared" si="24"/>
        <v>-63.276844745932081</v>
      </c>
      <c r="Q99" s="325">
        <f t="shared" si="24"/>
        <v>-66.440686983228687</v>
      </c>
    </row>
    <row r="100" spans="2:17" x14ac:dyDescent="0.2">
      <c r="B100" s="270" t="str">
        <f t="shared" si="18"/>
        <v>----------</v>
      </c>
      <c r="C100" s="254" t="s">
        <v>67</v>
      </c>
      <c r="D100" s="251"/>
      <c r="E100" s="254"/>
      <c r="F100" s="254"/>
      <c r="G100" s="254"/>
      <c r="H100" s="254" t="str">
        <f t="shared" ref="H100:Q100" si="25">H74</f>
        <v>----------</v>
      </c>
      <c r="I100" s="254" t="str">
        <f t="shared" si="25"/>
        <v>----------</v>
      </c>
      <c r="J100" s="254" t="str">
        <f t="shared" si="25"/>
        <v>----------</v>
      </c>
      <c r="K100" s="254" t="str">
        <f t="shared" si="25"/>
        <v>----------</v>
      </c>
      <c r="L100" s="254" t="str">
        <f t="shared" si="25"/>
        <v>----------</v>
      </c>
      <c r="M100" s="254" t="str">
        <f t="shared" si="25"/>
        <v>----------</v>
      </c>
      <c r="N100" s="254" t="str">
        <f t="shared" si="25"/>
        <v>----------</v>
      </c>
      <c r="O100" s="254" t="str">
        <f t="shared" si="25"/>
        <v>----------</v>
      </c>
      <c r="P100" s="254" t="str">
        <f t="shared" si="25"/>
        <v>----------</v>
      </c>
      <c r="Q100" s="254" t="str">
        <f t="shared" si="25"/>
        <v>----------</v>
      </c>
    </row>
    <row r="101" spans="2:17" s="319" customFormat="1" x14ac:dyDescent="0.2">
      <c r="B101" s="328" t="str">
        <f t="shared" si="18"/>
        <v>EBITDA</v>
      </c>
      <c r="C101" s="400" t="s">
        <v>37</v>
      </c>
      <c r="D101" s="328"/>
      <c r="E101" s="329"/>
      <c r="F101" s="329"/>
      <c r="G101" s="329"/>
      <c r="H101" s="329">
        <f t="shared" ref="H101:Q101" si="26">H75</f>
        <v>7.2</v>
      </c>
      <c r="I101" s="329">
        <f t="shared" si="26"/>
        <v>-7.1</v>
      </c>
      <c r="J101" s="329">
        <f t="shared" si="26"/>
        <v>16.471692986595372</v>
      </c>
      <c r="K101" s="329">
        <f t="shared" si="26"/>
        <v>21.580367708525142</v>
      </c>
      <c r="L101" s="329">
        <f t="shared" si="26"/>
        <v>25.531053994271389</v>
      </c>
      <c r="M101" s="329">
        <f t="shared" si="26"/>
        <v>28.423655630834983</v>
      </c>
      <c r="N101" s="329">
        <f t="shared" si="26"/>
        <v>30.971771014470328</v>
      </c>
      <c r="O101" s="329">
        <f t="shared" si="26"/>
        <v>32.533472289193867</v>
      </c>
      <c r="P101" s="329">
        <f t="shared" si="26"/>
        <v>34.173652009373534</v>
      </c>
      <c r="Q101" s="329">
        <f t="shared" si="26"/>
        <v>35.896245898733802</v>
      </c>
    </row>
    <row r="102" spans="2:17" s="319" customFormat="1" x14ac:dyDescent="0.2">
      <c r="B102" s="234" t="str">
        <f t="shared" si="18"/>
        <v>Depreciation, Amortization and Impairments</v>
      </c>
      <c r="C102" s="205" t="s">
        <v>37</v>
      </c>
      <c r="D102" s="234"/>
      <c r="E102" s="325"/>
      <c r="F102" s="325"/>
      <c r="G102" s="325"/>
      <c r="H102" s="325">
        <f t="shared" ref="H102:Q102" si="27">H76</f>
        <v>-4.0999999999999996</v>
      </c>
      <c r="I102" s="325">
        <f t="shared" si="27"/>
        <v>-12.9</v>
      </c>
      <c r="J102" s="325">
        <f t="shared" si="27"/>
        <v>-10.169735927943957</v>
      </c>
      <c r="K102" s="325">
        <f t="shared" si="27"/>
        <v>-10.166735968871576</v>
      </c>
      <c r="L102" s="325">
        <f t="shared" si="27"/>
        <v>-10.26873569928852</v>
      </c>
      <c r="M102" s="325">
        <f t="shared" si="27"/>
        <v>-10.405165385407955</v>
      </c>
      <c r="N102" s="325">
        <f t="shared" si="27"/>
        <v>-10.476624125632277</v>
      </c>
      <c r="O102" s="325">
        <f t="shared" si="27"/>
        <v>-10.643918465975116</v>
      </c>
      <c r="P102" s="325">
        <f t="shared" si="27"/>
        <v>-10.892873145586211</v>
      </c>
      <c r="Q102" s="325">
        <f t="shared" si="27"/>
        <v>-11.212503319576792</v>
      </c>
    </row>
    <row r="103" spans="2:17" s="319" customFormat="1" x14ac:dyDescent="0.2">
      <c r="B103" s="234" t="s">
        <v>77</v>
      </c>
      <c r="C103" s="205" t="s">
        <v>37</v>
      </c>
      <c r="D103" s="234"/>
      <c r="E103" s="325"/>
      <c r="F103" s="325"/>
      <c r="G103" s="325"/>
      <c r="H103" s="325">
        <f>H77</f>
        <v>-2.9000000000000004</v>
      </c>
      <c r="I103" s="325">
        <f t="shared" ref="I103:Q103" si="28">I77</f>
        <v>-0.80000000000000016</v>
      </c>
      <c r="J103" s="325">
        <f t="shared" si="28"/>
        <v>-1.131516295836928</v>
      </c>
      <c r="K103" s="325">
        <f t="shared" si="28"/>
        <v>-2.0722527452691315</v>
      </c>
      <c r="L103" s="325">
        <f t="shared" si="28"/>
        <v>-2.9181680516125295</v>
      </c>
      <c r="M103" s="325">
        <f t="shared" si="28"/>
        <v>-2.7145078603249502</v>
      </c>
      <c r="N103" s="325">
        <f t="shared" si="28"/>
        <v>-2.4678318960215213</v>
      </c>
      <c r="O103" s="325">
        <f t="shared" si="28"/>
        <v>-2.199879652318053</v>
      </c>
      <c r="P103" s="325">
        <f t="shared" si="28"/>
        <v>-1.9029678381200241</v>
      </c>
      <c r="Q103" s="325">
        <f t="shared" si="28"/>
        <v>-1.5930165882717675</v>
      </c>
    </row>
    <row r="104" spans="2:17" x14ac:dyDescent="0.2">
      <c r="B104" s="270" t="str">
        <f t="shared" ref="B104:B108" si="29">B78</f>
        <v>----------</v>
      </c>
      <c r="C104" s="254" t="s">
        <v>67</v>
      </c>
      <c r="D104" s="251"/>
      <c r="E104" s="254"/>
      <c r="F104" s="254"/>
      <c r="G104" s="254"/>
      <c r="H104" s="254" t="str">
        <f t="shared" ref="H104:Q104" si="30">H78</f>
        <v>----------</v>
      </c>
      <c r="I104" s="254" t="str">
        <f t="shared" si="30"/>
        <v>----------</v>
      </c>
      <c r="J104" s="254" t="str">
        <f t="shared" si="30"/>
        <v>----------</v>
      </c>
      <c r="K104" s="254" t="str">
        <f t="shared" si="30"/>
        <v>----------</v>
      </c>
      <c r="L104" s="254" t="str">
        <f t="shared" si="30"/>
        <v>----------</v>
      </c>
      <c r="M104" s="254" t="str">
        <f t="shared" si="30"/>
        <v>----------</v>
      </c>
      <c r="N104" s="254" t="str">
        <f t="shared" si="30"/>
        <v>----------</v>
      </c>
      <c r="O104" s="254" t="str">
        <f t="shared" si="30"/>
        <v>----------</v>
      </c>
      <c r="P104" s="254" t="str">
        <f t="shared" si="30"/>
        <v>----------</v>
      </c>
      <c r="Q104" s="254" t="str">
        <f t="shared" si="30"/>
        <v>----------</v>
      </c>
    </row>
    <row r="105" spans="2:17" s="319" customFormat="1" x14ac:dyDescent="0.2">
      <c r="B105" s="328" t="str">
        <f t="shared" si="29"/>
        <v>Profit/(loss) before income tax expense</v>
      </c>
      <c r="C105" s="400" t="s">
        <v>37</v>
      </c>
      <c r="D105" s="328"/>
      <c r="E105" s="329"/>
      <c r="F105" s="329"/>
      <c r="G105" s="329"/>
      <c r="H105" s="329">
        <f t="shared" ref="H105:Q105" si="31">H79</f>
        <v>0.20000000000000007</v>
      </c>
      <c r="I105" s="329">
        <f t="shared" si="31"/>
        <v>-20.8</v>
      </c>
      <c r="J105" s="329">
        <f t="shared" si="31"/>
        <v>5.1704407628144873</v>
      </c>
      <c r="K105" s="329">
        <f t="shared" si="31"/>
        <v>9.341378994384435</v>
      </c>
      <c r="L105" s="329">
        <f t="shared" si="31"/>
        <v>12.344150243370338</v>
      </c>
      <c r="M105" s="329">
        <f t="shared" si="31"/>
        <v>15.30398238510208</v>
      </c>
      <c r="N105" s="329">
        <f t="shared" si="31"/>
        <v>18.027314992816528</v>
      </c>
      <c r="O105" s="329">
        <f t="shared" si="31"/>
        <v>19.689674170900702</v>
      </c>
      <c r="P105" s="329">
        <f t="shared" si="31"/>
        <v>21.377811025667299</v>
      </c>
      <c r="Q105" s="329">
        <f t="shared" si="31"/>
        <v>23.090725990885243</v>
      </c>
    </row>
    <row r="106" spans="2:17" s="319" customFormat="1" x14ac:dyDescent="0.2">
      <c r="B106" s="234" t="str">
        <f t="shared" si="29"/>
        <v>Income tax expense</v>
      </c>
      <c r="C106" s="205" t="s">
        <v>37</v>
      </c>
      <c r="D106" s="234"/>
      <c r="E106" s="325"/>
      <c r="F106" s="325"/>
      <c r="G106" s="325"/>
      <c r="H106" s="325">
        <f t="shared" ref="H106:Q106" si="32">H80</f>
        <v>4.5999999999999996</v>
      </c>
      <c r="I106" s="325">
        <f t="shared" si="32"/>
        <v>0.1</v>
      </c>
      <c r="J106" s="325">
        <f t="shared" si="32"/>
        <v>-1.5511322288443461</v>
      </c>
      <c r="K106" s="325">
        <f t="shared" si="32"/>
        <v>-2.80241369831533</v>
      </c>
      <c r="L106" s="325">
        <f t="shared" si="32"/>
        <v>-3.7032450730111011</v>
      </c>
      <c r="M106" s="325">
        <f t="shared" si="32"/>
        <v>-4.591194715530623</v>
      </c>
      <c r="N106" s="325">
        <f t="shared" si="32"/>
        <v>-5.408194497844959</v>
      </c>
      <c r="O106" s="325">
        <f t="shared" si="32"/>
        <v>-5.9069022512702105</v>
      </c>
      <c r="P106" s="325">
        <f t="shared" si="32"/>
        <v>-6.41334330770019</v>
      </c>
      <c r="Q106" s="325">
        <f t="shared" si="32"/>
        <v>-6.9272177972655733</v>
      </c>
    </row>
    <row r="107" spans="2:17" x14ac:dyDescent="0.2">
      <c r="B107" s="270" t="str">
        <f t="shared" si="29"/>
        <v>----------</v>
      </c>
      <c r="C107" s="254" t="s">
        <v>67</v>
      </c>
      <c r="D107" s="251"/>
      <c r="E107" s="254"/>
      <c r="F107" s="254"/>
      <c r="G107" s="254"/>
      <c r="H107" s="254" t="str">
        <f t="shared" ref="H107:Q107" si="33">H81</f>
        <v>----------</v>
      </c>
      <c r="I107" s="254" t="str">
        <f t="shared" si="33"/>
        <v>----------</v>
      </c>
      <c r="J107" s="254" t="str">
        <f t="shared" si="33"/>
        <v>----------</v>
      </c>
      <c r="K107" s="254" t="str">
        <f t="shared" si="33"/>
        <v>----------</v>
      </c>
      <c r="L107" s="254" t="str">
        <f t="shared" si="33"/>
        <v>----------</v>
      </c>
      <c r="M107" s="254" t="str">
        <f t="shared" si="33"/>
        <v>----------</v>
      </c>
      <c r="N107" s="254" t="str">
        <f t="shared" si="33"/>
        <v>----------</v>
      </c>
      <c r="O107" s="254" t="str">
        <f t="shared" si="33"/>
        <v>----------</v>
      </c>
      <c r="P107" s="254" t="str">
        <f t="shared" si="33"/>
        <v>----------</v>
      </c>
      <c r="Q107" s="254" t="str">
        <f t="shared" si="33"/>
        <v>----------</v>
      </c>
    </row>
    <row r="108" spans="2:17" s="319" customFormat="1" x14ac:dyDescent="0.2">
      <c r="B108" s="328" t="str">
        <f t="shared" si="29"/>
        <v>Profit/(loss) after income tax</v>
      </c>
      <c r="C108" s="400" t="s">
        <v>37</v>
      </c>
      <c r="D108" s="328"/>
      <c r="E108" s="329"/>
      <c r="F108" s="329"/>
      <c r="G108" s="329"/>
      <c r="H108" s="329">
        <f t="shared" ref="H108:Q108" si="34">H82</f>
        <v>4.8</v>
      </c>
      <c r="I108" s="329">
        <f t="shared" si="34"/>
        <v>-20.7</v>
      </c>
      <c r="J108" s="329">
        <f t="shared" si="34"/>
        <v>3.6193085339701412</v>
      </c>
      <c r="K108" s="329">
        <f t="shared" si="34"/>
        <v>6.5389652960691036</v>
      </c>
      <c r="L108" s="329">
        <f t="shared" si="34"/>
        <v>8.6409051703592379</v>
      </c>
      <c r="M108" s="329">
        <f t="shared" si="34"/>
        <v>10.712787669571457</v>
      </c>
      <c r="N108" s="329">
        <f t="shared" si="34"/>
        <v>12.619120494971572</v>
      </c>
      <c r="O108" s="329">
        <f t="shared" si="34"/>
        <v>13.782771919630491</v>
      </c>
      <c r="P108" s="329">
        <f t="shared" si="34"/>
        <v>14.964467717967109</v>
      </c>
      <c r="Q108" s="329">
        <f t="shared" si="34"/>
        <v>16.16350819361967</v>
      </c>
    </row>
    <row r="109" spans="2:17" x14ac:dyDescent="0.2">
      <c r="B109" s="326" t="str">
        <f>B83</f>
        <v>Normalised EPS</v>
      </c>
      <c r="C109" s="317" t="s">
        <v>82</v>
      </c>
      <c r="D109" s="334"/>
      <c r="E109" s="325"/>
      <c r="F109" s="325"/>
      <c r="G109" s="325"/>
      <c r="H109" s="566">
        <f t="shared" ref="H109:Q109" si="35">H83</f>
        <v>0.79052287674757649</v>
      </c>
      <c r="I109" s="566">
        <f t="shared" si="35"/>
        <v>-1.9692282705377577</v>
      </c>
      <c r="J109" s="566">
        <f t="shared" si="35"/>
        <v>0.34325694206963459</v>
      </c>
      <c r="K109" s="566">
        <f t="shared" si="35"/>
        <v>0.61726717477967652</v>
      </c>
      <c r="L109" s="566">
        <f t="shared" si="35"/>
        <v>0.81110894823154489</v>
      </c>
      <c r="M109" s="566">
        <f t="shared" si="35"/>
        <v>1.0001776035555832</v>
      </c>
      <c r="N109" s="566">
        <f t="shared" si="35"/>
        <v>1.1716320210461084</v>
      </c>
      <c r="O109" s="566">
        <f t="shared" si="35"/>
        <v>1.2725968463710837</v>
      </c>
      <c r="P109" s="566">
        <f t="shared" si="35"/>
        <v>1.3741043012215211</v>
      </c>
      <c r="Q109" s="566">
        <f t="shared" si="35"/>
        <v>1.4760831422393474</v>
      </c>
    </row>
    <row r="110" spans="2:17" s="319" customFormat="1" x14ac:dyDescent="0.2">
      <c r="B110" s="421"/>
      <c r="C110" s="400"/>
      <c r="D110" s="328"/>
      <c r="E110" s="329"/>
      <c r="F110" s="329"/>
      <c r="G110" s="329"/>
      <c r="H110" s="329"/>
      <c r="I110" s="329"/>
      <c r="J110" s="329"/>
      <c r="K110" s="329"/>
      <c r="L110" s="329"/>
      <c r="M110" s="329"/>
      <c r="N110" s="329"/>
      <c r="O110" s="329"/>
      <c r="P110" s="329"/>
      <c r="Q110" s="329"/>
    </row>
    <row r="111" spans="2:17" s="319" customFormat="1" x14ac:dyDescent="0.2">
      <c r="B111" s="421"/>
      <c r="C111" s="400"/>
      <c r="D111" s="328"/>
      <c r="E111" s="329"/>
      <c r="F111" s="329"/>
      <c r="G111" s="329"/>
      <c r="H111" s="329"/>
      <c r="I111" s="329"/>
      <c r="J111" s="329"/>
      <c r="K111" s="329"/>
      <c r="L111" s="329"/>
      <c r="M111" s="329"/>
      <c r="N111" s="329"/>
      <c r="O111" s="329"/>
      <c r="P111" s="329"/>
      <c r="Q111" s="329"/>
    </row>
    <row r="112" spans="2:17" s="319" customFormat="1" x14ac:dyDescent="0.2">
      <c r="B112" s="246" t="s">
        <v>85</v>
      </c>
      <c r="C112" s="400"/>
      <c r="D112" s="328"/>
      <c r="E112" s="329"/>
      <c r="F112" s="329"/>
      <c r="G112" s="329"/>
      <c r="H112" s="329"/>
      <c r="I112" s="329"/>
      <c r="J112" s="329"/>
      <c r="K112" s="329"/>
      <c r="L112" s="329"/>
      <c r="M112" s="329"/>
      <c r="N112" s="329"/>
      <c r="O112" s="329"/>
      <c r="P112" s="329"/>
      <c r="Q112" s="329"/>
    </row>
    <row r="113" spans="2:17" s="319" customFormat="1" x14ac:dyDescent="0.2">
      <c r="B113" s="328" t="s">
        <v>75</v>
      </c>
      <c r="C113" s="400"/>
      <c r="D113" s="328"/>
      <c r="E113" s="329"/>
      <c r="F113" s="329"/>
      <c r="G113" s="329"/>
      <c r="H113" s="329">
        <f>SUMIFS(HY!144:144,HY!$14:$14,FY!H$4)</f>
        <v>-7.4</v>
      </c>
      <c r="I113" s="329">
        <f>SUMIFS(HY!144:144,HY!$14:$14,FY!I$4)</f>
        <v>-24.3</v>
      </c>
      <c r="J113" s="329">
        <f>SUMIFS(HY!144:144,HY!$14:$14,FY!J$4)</f>
        <v>7.8145602182337885</v>
      </c>
      <c r="K113" s="329">
        <f>SUMIFS(HY!144:144,HY!$14:$14,FY!K$4)</f>
        <v>16.001821793047174</v>
      </c>
      <c r="L113" s="329">
        <f>SUMIFS(HY!144:144,HY!$14:$14,FY!L$4)</f>
        <v>23.23110928007489</v>
      </c>
      <c r="M113" s="329">
        <f>SUMIFS(HY!144:144,HY!$14:$14,FY!M$4)</f>
        <v>26.120971906508156</v>
      </c>
      <c r="N113" s="329">
        <f>SUMIFS(HY!144:144,HY!$14:$14,FY!N$4)</f>
        <v>28.631947230073713</v>
      </c>
      <c r="O113" s="329">
        <f>SUMIFS(HY!144:144,HY!$14:$14,FY!O$4)</f>
        <v>30.076657315577425</v>
      </c>
      <c r="P113" s="329">
        <f>SUMIFS(HY!144:144,HY!$14:$14,FY!P$4)</f>
        <v>31.593996287076269</v>
      </c>
      <c r="Q113" s="329">
        <f>SUMIFS(HY!144:144,HY!$14:$14,FY!Q$4)</f>
        <v>33.187607390321674</v>
      </c>
    </row>
    <row r="114" spans="2:17" s="319" customFormat="1" x14ac:dyDescent="0.2">
      <c r="B114" s="410"/>
      <c r="C114" s="400"/>
      <c r="D114" s="328"/>
      <c r="E114" s="329"/>
      <c r="F114" s="329"/>
      <c r="G114" s="329"/>
      <c r="H114" s="329"/>
      <c r="I114" s="329"/>
      <c r="J114" s="329"/>
      <c r="K114" s="329"/>
      <c r="L114" s="329"/>
      <c r="M114" s="329"/>
      <c r="N114" s="329"/>
      <c r="O114" s="329"/>
      <c r="P114" s="329"/>
      <c r="Q114" s="329"/>
    </row>
    <row r="115" spans="2:17" s="319" customFormat="1" x14ac:dyDescent="0.2">
      <c r="B115" s="328" t="s">
        <v>84</v>
      </c>
      <c r="C115" s="400"/>
      <c r="D115" s="328"/>
      <c r="E115" s="329"/>
      <c r="F115" s="329"/>
      <c r="G115" s="329"/>
      <c r="H115" s="329">
        <f>SUMIFS(HY!146:146,HY!$14:$14,FY!H$4)</f>
        <v>-14.8</v>
      </c>
      <c r="I115" s="329">
        <f>SUMIFS(HY!146:146,HY!$14:$14,FY!I$4)</f>
        <v>-40.6</v>
      </c>
      <c r="J115" s="329">
        <f>SUMIFS(HY!146:146,HY!$14:$14,FY!J$4)</f>
        <v>-5.0378242343914419</v>
      </c>
      <c r="K115" s="329">
        <f>SUMIFS(HY!146:146,HY!$14:$14,FY!K$4)</f>
        <v>0.96041938059113541</v>
      </c>
      <c r="L115" s="329">
        <f>SUMIFS(HY!146:146,HY!$14:$14,FY!L$4)</f>
        <v>6.3409604561627368</v>
      </c>
      <c r="M115" s="329">
        <f>SUMIFS(HY!146:146,HY!$14:$14,FY!M$4)</f>
        <v>8.4101039452446305</v>
      </c>
      <c r="N115" s="329">
        <f>SUMIFS(HY!146:146,HY!$14:$14,FY!N$4)</f>
        <v>10.279296710574958</v>
      </c>
      <c r="O115" s="329">
        <f>SUMIFS(HY!146:146,HY!$14:$14,FY!O$4)</f>
        <v>11.325956946014045</v>
      </c>
      <c r="P115" s="329">
        <f>SUMIFS(HY!146:146,HY!$14:$14,FY!P$4)</f>
        <v>12.384811995669843</v>
      </c>
      <c r="Q115" s="329">
        <f>SUMIFS(HY!146:146,HY!$14:$14,FY!Q$4)</f>
        <v>13.454869685207541</v>
      </c>
    </row>
    <row r="116" spans="2:17" s="319" customFormat="1" x14ac:dyDescent="0.2">
      <c r="B116" s="234" t="s">
        <v>86</v>
      </c>
      <c r="C116" s="205"/>
      <c r="D116" s="234"/>
      <c r="E116" s="325"/>
      <c r="F116" s="325"/>
      <c r="G116" s="325"/>
      <c r="H116" s="325">
        <f>SUMIFS(HY!147:147,HY!$14:$14,FY!H$4)</f>
        <v>8</v>
      </c>
      <c r="I116" s="325">
        <f>SUMIFS(HY!147:147,HY!$14:$14,FY!I$4)</f>
        <v>4.9999999999999989E-2</v>
      </c>
      <c r="J116" s="325">
        <f>SUMIFS(HY!147:147,HY!$14:$14,FY!J$4)</f>
        <v>0</v>
      </c>
      <c r="K116" s="325">
        <f>SUMIFS(HY!147:147,HY!$14:$14,FY!K$4)</f>
        <v>0</v>
      </c>
      <c r="L116" s="325">
        <f>SUMIFS(HY!147:147,HY!$14:$14,FY!L$4)</f>
        <v>0</v>
      </c>
      <c r="M116" s="325">
        <f>SUMIFS(HY!147:147,HY!$14:$14,FY!M$4)</f>
        <v>0</v>
      </c>
      <c r="N116" s="325">
        <f>SUMIFS(HY!147:147,HY!$14:$14,FY!N$4)</f>
        <v>0</v>
      </c>
      <c r="O116" s="325">
        <f>SUMIFS(HY!147:147,HY!$14:$14,FY!O$4)</f>
        <v>0</v>
      </c>
      <c r="P116" s="325">
        <f>SUMIFS(HY!147:147,HY!$14:$14,FY!P$4)</f>
        <v>0</v>
      </c>
      <c r="Q116" s="325">
        <f>SUMIFS(HY!147:147,HY!$14:$14,FY!Q$4)</f>
        <v>0</v>
      </c>
    </row>
    <row r="117" spans="2:17" x14ac:dyDescent="0.2">
      <c r="B117" s="270" t="s">
        <v>67</v>
      </c>
      <c r="C117" s="260"/>
      <c r="D117" s="251"/>
      <c r="E117" s="254"/>
      <c r="F117" s="254"/>
      <c r="G117" s="254"/>
      <c r="H117" s="254" t="s">
        <v>67</v>
      </c>
      <c r="I117" s="254" t="s">
        <v>67</v>
      </c>
      <c r="J117" s="254" t="s">
        <v>67</v>
      </c>
      <c r="K117" s="254" t="s">
        <v>67</v>
      </c>
      <c r="L117" s="254" t="s">
        <v>67</v>
      </c>
      <c r="M117" s="254" t="s">
        <v>67</v>
      </c>
      <c r="N117" s="254" t="s">
        <v>67</v>
      </c>
      <c r="O117" s="254" t="s">
        <v>67</v>
      </c>
      <c r="P117" s="254" t="s">
        <v>67</v>
      </c>
      <c r="Q117" s="254" t="s">
        <v>67</v>
      </c>
    </row>
    <row r="118" spans="2:17" s="319" customFormat="1" x14ac:dyDescent="0.2">
      <c r="B118" s="328" t="s">
        <v>87</v>
      </c>
      <c r="C118" s="400"/>
      <c r="D118" s="328"/>
      <c r="E118" s="329"/>
      <c r="F118" s="329"/>
      <c r="G118" s="329"/>
      <c r="H118" s="329">
        <f>SUMIFS(HY!149:149,HY!$14:$14,FY!H$4)</f>
        <v>-6.8</v>
      </c>
      <c r="I118" s="329">
        <f>SUMIFS(HY!149:149,HY!$14:$14,FY!I$4)</f>
        <v>-40.1</v>
      </c>
      <c r="J118" s="329">
        <f>SUMIFS(HY!149:149,HY!$14:$14,FY!J$4)</f>
        <v>-5.0378242343914419</v>
      </c>
      <c r="K118" s="329">
        <f>SUMIFS(HY!149:149,HY!$14:$14,FY!K$4)</f>
        <v>0.96041938059113541</v>
      </c>
      <c r="L118" s="329">
        <f>SUMIFS(HY!149:149,HY!$14:$14,FY!L$4)</f>
        <v>6.3409604561627368</v>
      </c>
      <c r="M118" s="329">
        <f>SUMIFS(HY!149:149,HY!$14:$14,FY!M$4)</f>
        <v>8.4101039452446305</v>
      </c>
      <c r="N118" s="329">
        <f>SUMIFS(HY!149:149,HY!$14:$14,FY!N$4)</f>
        <v>10.279296710574958</v>
      </c>
      <c r="O118" s="329">
        <f>SUMIFS(HY!149:149,HY!$14:$14,FY!O$4)</f>
        <v>11.325956946014045</v>
      </c>
      <c r="P118" s="329">
        <f>SUMIFS(HY!149:149,HY!$14:$14,FY!P$4)</f>
        <v>12.384811995669843</v>
      </c>
      <c r="Q118" s="329">
        <f>SUMIFS(HY!149:149,HY!$14:$14,FY!Q$4)</f>
        <v>13.454869685207541</v>
      </c>
    </row>
    <row r="119" spans="2:17" s="319" customFormat="1" x14ac:dyDescent="0.2">
      <c r="B119" s="410"/>
      <c r="C119" s="400"/>
      <c r="D119" s="328"/>
      <c r="E119" s="329"/>
      <c r="F119" s="329"/>
      <c r="G119" s="329"/>
      <c r="H119" s="329"/>
      <c r="I119" s="329"/>
      <c r="J119" s="329"/>
      <c r="K119" s="329"/>
      <c r="L119" s="329"/>
      <c r="M119" s="329"/>
      <c r="N119" s="329"/>
      <c r="O119" s="329"/>
      <c r="P119" s="329"/>
      <c r="Q119" s="329"/>
    </row>
    <row r="120" spans="2:17" s="319" customFormat="1" x14ac:dyDescent="0.2">
      <c r="B120" s="234" t="s">
        <v>88</v>
      </c>
      <c r="C120" s="205"/>
      <c r="D120" s="234"/>
      <c r="E120" s="325"/>
      <c r="F120" s="325"/>
      <c r="G120" s="325"/>
      <c r="H120" s="325">
        <f>SUMIFS(HY!151:151,HY!$14:$14,FY!H$4)</f>
        <v>0.2</v>
      </c>
      <c r="I120" s="325">
        <f>SUMIFS(HY!151:151,HY!$14:$14,FY!I$4)</f>
        <v>-0.7</v>
      </c>
      <c r="J120" s="325">
        <f>SUMIFS(HY!151:151,HY!$14:$14,FY!J$4)</f>
        <v>0</v>
      </c>
      <c r="K120" s="325">
        <f>SUMIFS(HY!151:151,HY!$14:$14,FY!K$4)</f>
        <v>0</v>
      </c>
      <c r="L120" s="325">
        <f>SUMIFS(HY!151:151,HY!$14:$14,FY!L$4)</f>
        <v>0</v>
      </c>
      <c r="M120" s="325">
        <f>SUMIFS(HY!151:151,HY!$14:$14,FY!M$4)</f>
        <v>0</v>
      </c>
      <c r="N120" s="325">
        <f>SUMIFS(HY!151:151,HY!$14:$14,FY!N$4)</f>
        <v>0</v>
      </c>
      <c r="O120" s="325">
        <f>SUMIFS(HY!151:151,HY!$14:$14,FY!O$4)</f>
        <v>0</v>
      </c>
      <c r="P120" s="325">
        <f>SUMIFS(HY!151:151,HY!$14:$14,FY!P$4)</f>
        <v>0</v>
      </c>
      <c r="Q120" s="325">
        <f>SUMIFS(HY!151:151,HY!$14:$14,FY!Q$4)</f>
        <v>0</v>
      </c>
    </row>
    <row r="121" spans="2:17" s="319" customFormat="1" x14ac:dyDescent="0.2">
      <c r="B121" s="234" t="s">
        <v>89</v>
      </c>
      <c r="C121" s="205"/>
      <c r="D121" s="234"/>
      <c r="E121" s="325"/>
      <c r="F121" s="325"/>
      <c r="G121" s="325"/>
      <c r="H121" s="325">
        <f>SUMIFS(HY!152:152,HY!$14:$14,FY!H$4)</f>
        <v>6.1</v>
      </c>
      <c r="I121" s="325">
        <f>SUMIFS(HY!152:152,HY!$14:$14,FY!I$4)</f>
        <v>-19</v>
      </c>
      <c r="J121" s="325">
        <f>SUMIFS(HY!152:152,HY!$14:$14,FY!J$4)</f>
        <v>0</v>
      </c>
      <c r="K121" s="325">
        <f>SUMIFS(HY!152:152,HY!$14:$14,FY!K$4)</f>
        <v>0</v>
      </c>
      <c r="L121" s="325">
        <f>SUMIFS(HY!152:152,HY!$14:$14,FY!L$4)</f>
        <v>0</v>
      </c>
      <c r="M121" s="325">
        <f>SUMIFS(HY!152:152,HY!$14:$14,FY!M$4)</f>
        <v>0</v>
      </c>
      <c r="N121" s="325">
        <f>SUMIFS(HY!152:152,HY!$14:$14,FY!N$4)</f>
        <v>0</v>
      </c>
      <c r="O121" s="325">
        <f>SUMIFS(HY!152:152,HY!$14:$14,FY!O$4)</f>
        <v>0</v>
      </c>
      <c r="P121" s="325">
        <f>SUMIFS(HY!152:152,HY!$14:$14,FY!P$4)</f>
        <v>0</v>
      </c>
      <c r="Q121" s="325">
        <f>SUMIFS(HY!152:152,HY!$14:$14,FY!Q$4)</f>
        <v>0</v>
      </c>
    </row>
    <row r="122" spans="2:17" x14ac:dyDescent="0.2">
      <c r="B122" s="270" t="s">
        <v>67</v>
      </c>
      <c r="C122" s="260"/>
      <c r="D122" s="251"/>
      <c r="E122" s="254"/>
      <c r="F122" s="254"/>
      <c r="G122" s="254"/>
      <c r="H122" s="254" t="s">
        <v>67</v>
      </c>
      <c r="I122" s="254" t="s">
        <v>67</v>
      </c>
      <c r="J122" s="254" t="s">
        <v>67</v>
      </c>
      <c r="K122" s="254" t="s">
        <v>67</v>
      </c>
      <c r="L122" s="254" t="s">
        <v>67</v>
      </c>
      <c r="M122" s="254" t="s">
        <v>67</v>
      </c>
      <c r="N122" s="254" t="s">
        <v>67</v>
      </c>
      <c r="O122" s="254" t="s">
        <v>67</v>
      </c>
      <c r="P122" s="254" t="s">
        <v>67</v>
      </c>
      <c r="Q122" s="254" t="s">
        <v>67</v>
      </c>
    </row>
    <row r="123" spans="2:17" s="319" customFormat="1" x14ac:dyDescent="0.2">
      <c r="B123" s="330" t="s">
        <v>90</v>
      </c>
      <c r="C123" s="400"/>
      <c r="D123" s="328"/>
      <c r="E123" s="329"/>
      <c r="F123" s="329"/>
      <c r="G123" s="329"/>
      <c r="H123" s="329">
        <f>SUMIFS(HY!154:154,HY!$14:$14,FY!H$4)</f>
        <v>6.2999999999999989</v>
      </c>
      <c r="I123" s="329">
        <f>SUMIFS(HY!154:154,HY!$14:$14,FY!I$4)</f>
        <v>-19.7</v>
      </c>
      <c r="J123" s="329">
        <f>SUMIFS(HY!154:154,HY!$14:$14,FY!J$4)</f>
        <v>0</v>
      </c>
      <c r="K123" s="329">
        <f>SUMIFS(HY!154:154,HY!$14:$14,FY!K$4)</f>
        <v>0</v>
      </c>
      <c r="L123" s="329">
        <f>SUMIFS(HY!154:154,HY!$14:$14,FY!L$4)</f>
        <v>0</v>
      </c>
      <c r="M123" s="329">
        <f>SUMIFS(HY!154:154,HY!$14:$14,FY!M$4)</f>
        <v>0</v>
      </c>
      <c r="N123" s="329">
        <f>SUMIFS(HY!154:154,HY!$14:$14,FY!N$4)</f>
        <v>0</v>
      </c>
      <c r="O123" s="329">
        <f>SUMIFS(HY!154:154,HY!$14:$14,FY!O$4)</f>
        <v>0</v>
      </c>
      <c r="P123" s="329">
        <f>SUMIFS(HY!154:154,HY!$14:$14,FY!P$4)</f>
        <v>0</v>
      </c>
      <c r="Q123" s="329">
        <f>SUMIFS(HY!154:154,HY!$14:$14,FY!Q$4)</f>
        <v>0</v>
      </c>
    </row>
    <row r="124" spans="2:17" s="319" customFormat="1" x14ac:dyDescent="0.2">
      <c r="B124" s="328" t="s">
        <v>91</v>
      </c>
      <c r="C124" s="400"/>
      <c r="D124" s="328"/>
      <c r="E124" s="329"/>
      <c r="F124" s="329"/>
      <c r="G124" s="329"/>
      <c r="H124" s="329">
        <f>SUMIFS(HY!155:155,HY!$14:$14,FY!H$4)</f>
        <v>-0.6</v>
      </c>
      <c r="I124" s="329">
        <f>SUMIFS(HY!155:155,HY!$14:$14,FY!I$4)</f>
        <v>-59.8</v>
      </c>
      <c r="J124" s="329">
        <f>SUMIFS(HY!155:155,HY!$14:$14,FY!J$4)</f>
        <v>-5.0378242343914419</v>
      </c>
      <c r="K124" s="329">
        <f>SUMIFS(HY!155:155,HY!$14:$14,FY!K$4)</f>
        <v>0.96041938059113541</v>
      </c>
      <c r="L124" s="329">
        <f>SUMIFS(HY!155:155,HY!$14:$14,FY!L$4)</f>
        <v>6.3409604561627368</v>
      </c>
      <c r="M124" s="329">
        <f>SUMIFS(HY!155:155,HY!$14:$14,FY!M$4)</f>
        <v>8.4101039452446305</v>
      </c>
      <c r="N124" s="329">
        <f>SUMIFS(HY!155:155,HY!$14:$14,FY!N$4)</f>
        <v>10.279296710574958</v>
      </c>
      <c r="O124" s="329">
        <f>SUMIFS(HY!155:155,HY!$14:$14,FY!O$4)</f>
        <v>11.325956946014045</v>
      </c>
      <c r="P124" s="329">
        <f>SUMIFS(HY!155:155,HY!$14:$14,FY!P$4)</f>
        <v>12.384811995669843</v>
      </c>
      <c r="Q124" s="329">
        <f>SUMIFS(HY!155:155,HY!$14:$14,FY!Q$4)</f>
        <v>13.454869685207541</v>
      </c>
    </row>
    <row r="125" spans="2:17" x14ac:dyDescent="0.2">
      <c r="B125" s="226"/>
      <c r="C125" s="260"/>
      <c r="D125" s="251"/>
      <c r="E125" s="254"/>
      <c r="F125" s="254"/>
      <c r="G125" s="254"/>
      <c r="H125" s="329"/>
      <c r="I125" s="329"/>
      <c r="J125" s="329"/>
      <c r="K125" s="329"/>
      <c r="L125" s="329"/>
      <c r="M125" s="329"/>
      <c r="N125" s="329"/>
      <c r="O125" s="329"/>
      <c r="P125" s="329"/>
      <c r="Q125" s="329"/>
    </row>
    <row r="126" spans="2:17" s="319" customFormat="1" x14ac:dyDescent="0.2">
      <c r="B126" s="328" t="s">
        <v>92</v>
      </c>
      <c r="C126" s="400"/>
      <c r="D126" s="328"/>
      <c r="E126" s="329"/>
      <c r="F126" s="329"/>
      <c r="G126" s="329"/>
      <c r="H126" s="565">
        <f>SUMIFS(HY!157:157,HY!$14:$14,FY!H$4)</f>
        <v>-2.31</v>
      </c>
      <c r="I126" s="565">
        <f>SUMIFS(HY!157:157,HY!$14:$14,FY!I$4)</f>
        <v>-3.88</v>
      </c>
      <c r="J126" s="565">
        <f>SUMIFS(HY!157:157,HY!$14:$14,FY!J$4)</f>
        <v>-0.47903149345425516</v>
      </c>
      <c r="K126" s="565">
        <f>SUMIFS(HY!157:157,HY!$14:$14,FY!K$4)</f>
        <v>9.0519474243047501E-2</v>
      </c>
      <c r="L126" s="565">
        <f>SUMIFS(HY!157:157,HY!$14:$14,FY!L$4)</f>
        <v>0.5950956605995954</v>
      </c>
      <c r="M126" s="565">
        <f>SUMIFS(HY!157:157,HY!$14:$14,FY!M$4)</f>
        <v>0.78513287730854342</v>
      </c>
      <c r="N126" s="565">
        <f>SUMIFS(HY!157:157,HY!$14:$14,FY!N$4)</f>
        <v>0.95433641160811256</v>
      </c>
      <c r="O126" s="565">
        <f>SUMIFS(HY!157:157,HY!$14:$14,FY!O$4)</f>
        <v>1.0457007470877624</v>
      </c>
      <c r="P126" s="565">
        <f>SUMIFS(HY!157:157,HY!$14:$14,FY!P$4)</f>
        <v>1.1371762711383662</v>
      </c>
      <c r="Q126" s="565">
        <f>SUMIFS(HY!157:157,HY!$14:$14,FY!Q$4)</f>
        <v>1.2286721185654841</v>
      </c>
    </row>
    <row r="127" spans="2:17" s="319" customFormat="1" x14ac:dyDescent="0.2">
      <c r="B127" s="234" t="s">
        <v>92</v>
      </c>
      <c r="C127" s="205"/>
      <c r="D127" s="234"/>
      <c r="E127" s="325"/>
      <c r="F127" s="325"/>
      <c r="G127" s="325"/>
      <c r="H127" s="566">
        <f>SUMIFS(HY!158:158,HY!$14:$14,FY!H$4)</f>
        <v>-2.4937497000945896</v>
      </c>
      <c r="I127" s="566">
        <f>SUMIFS(HY!158:158,HY!$14:$14,FY!I$4)</f>
        <v>-3.8643623087570846</v>
      </c>
      <c r="J127" s="566">
        <f>SUMIFS(HY!158:158,HY!$14:$14,FY!J$4)</f>
        <v>0</v>
      </c>
      <c r="K127" s="566">
        <f>SUMIFS(HY!158:158,HY!$14:$14,FY!K$4)</f>
        <v>0</v>
      </c>
      <c r="L127" s="566">
        <f>SUMIFS(HY!158:158,HY!$14:$14,FY!L$4)</f>
        <v>0</v>
      </c>
      <c r="M127" s="566">
        <f>SUMIFS(HY!158:158,HY!$14:$14,FY!M$4)</f>
        <v>0</v>
      </c>
      <c r="N127" s="566">
        <f>SUMIFS(HY!158:158,HY!$14:$14,FY!N$4)</f>
        <v>0</v>
      </c>
      <c r="O127" s="566">
        <f>SUMIFS(HY!158:158,HY!$14:$14,FY!O$4)</f>
        <v>0</v>
      </c>
      <c r="P127" s="566">
        <f>SUMIFS(HY!158:158,HY!$14:$14,FY!P$4)</f>
        <v>0</v>
      </c>
      <c r="Q127" s="566">
        <f>SUMIFS(HY!158:158,HY!$14:$14,FY!Q$4)</f>
        <v>0</v>
      </c>
    </row>
    <row r="128" spans="2:17" s="319" customFormat="1" x14ac:dyDescent="0.2">
      <c r="B128" s="226"/>
      <c r="C128" s="205"/>
      <c r="D128" s="234"/>
      <c r="E128" s="325"/>
      <c r="F128" s="325"/>
      <c r="G128" s="325"/>
      <c r="H128" s="329"/>
      <c r="I128" s="329"/>
      <c r="J128" s="329"/>
      <c r="K128" s="329"/>
      <c r="L128" s="329"/>
      <c r="M128" s="329"/>
      <c r="N128" s="329"/>
      <c r="O128" s="329"/>
      <c r="P128" s="329"/>
      <c r="Q128" s="329"/>
    </row>
    <row r="129" spans="2:17" s="319" customFormat="1" x14ac:dyDescent="0.2">
      <c r="B129" s="328" t="s">
        <v>93</v>
      </c>
      <c r="C129" s="400"/>
      <c r="D129" s="328"/>
      <c r="E129" s="329"/>
      <c r="F129" s="329"/>
      <c r="G129" s="329"/>
      <c r="H129" s="565">
        <f>SUMIFS(HY!160:160,HY!$14:$14,FY!H$4)</f>
        <v>0</v>
      </c>
      <c r="I129" s="565">
        <f>SUMIFS(HY!160:160,HY!$14:$14,FY!I$4)</f>
        <v>0</v>
      </c>
      <c r="J129" s="565">
        <f>SUMIFS(HY!160:160,HY!$14:$14,FY!J$4)</f>
        <v>0</v>
      </c>
      <c r="K129" s="565">
        <f>SUMIFS(HY!160:160,HY!$14:$14,FY!K$4)</f>
        <v>0</v>
      </c>
      <c r="L129" s="565">
        <f>SUMIFS(HY!160:160,HY!$14:$14,FY!L$4)</f>
        <v>0</v>
      </c>
      <c r="M129" s="565">
        <f>SUMIFS(HY!160:160,HY!$14:$14,FY!M$4)</f>
        <v>0</v>
      </c>
      <c r="N129" s="565">
        <f>SUMIFS(HY!160:160,HY!$14:$14,FY!N$4)</f>
        <v>0</v>
      </c>
      <c r="O129" s="565">
        <f>SUMIFS(HY!160:160,HY!$14:$14,FY!O$4)</f>
        <v>0</v>
      </c>
      <c r="P129" s="565">
        <f>SUMIFS(HY!160:160,HY!$14:$14,FY!P$4)</f>
        <v>0</v>
      </c>
      <c r="Q129" s="565">
        <f>SUMIFS(HY!160:160,HY!$14:$14,FY!Q$4)</f>
        <v>0</v>
      </c>
    </row>
    <row r="130" spans="2:17" s="319" customFormat="1" x14ac:dyDescent="0.2">
      <c r="B130" s="226"/>
      <c r="C130" s="205"/>
      <c r="D130" s="234"/>
      <c r="E130" s="325"/>
      <c r="F130" s="325"/>
      <c r="G130" s="325"/>
      <c r="H130" s="329"/>
      <c r="I130" s="329"/>
      <c r="J130" s="329"/>
      <c r="K130" s="329"/>
      <c r="L130" s="329"/>
      <c r="M130" s="329"/>
      <c r="N130" s="329"/>
      <c r="O130" s="329"/>
      <c r="P130" s="329"/>
      <c r="Q130" s="329"/>
    </row>
    <row r="131" spans="2:17" x14ac:dyDescent="0.2">
      <c r="B131" s="564" t="s">
        <v>94</v>
      </c>
      <c r="C131" s="260"/>
      <c r="D131" s="251"/>
      <c r="E131" s="254"/>
      <c r="F131" s="254"/>
      <c r="G131" s="254"/>
      <c r="H131" s="329"/>
      <c r="I131" s="329"/>
      <c r="J131" s="329"/>
      <c r="K131" s="329"/>
      <c r="L131" s="329"/>
      <c r="M131" s="329"/>
      <c r="N131" s="329"/>
      <c r="O131" s="329"/>
      <c r="P131" s="329"/>
      <c r="Q131" s="329"/>
    </row>
    <row r="132" spans="2:17" s="319" customFormat="1" x14ac:dyDescent="0.2">
      <c r="B132" s="234" t="s">
        <v>75</v>
      </c>
      <c r="C132" s="205"/>
      <c r="D132" s="234"/>
      <c r="E132" s="325"/>
      <c r="F132" s="325"/>
      <c r="G132" s="325"/>
      <c r="H132" s="325">
        <f>SUMIFS(HY!164:164,HY!$14:$14,FY!H$4)</f>
        <v>-14.6</v>
      </c>
      <c r="I132" s="325">
        <f>SUMIFS(HY!164:164,HY!$14:$14,FY!I$4)</f>
        <v>-17.2</v>
      </c>
      <c r="J132" s="325">
        <f>SUMIFS(HY!164:164,HY!$14:$14,FY!J$4)</f>
        <v>-8.6571327683615831</v>
      </c>
      <c r="K132" s="325">
        <f>SUMIFS(HY!164:164,HY!$14:$14,FY!K$4)</f>
        <v>-5.5785459154779682</v>
      </c>
      <c r="L132" s="325">
        <f>SUMIFS(HY!164:164,HY!$14:$14,FY!L$4)</f>
        <v>-2.2999447141965006</v>
      </c>
      <c r="M132" s="325">
        <f>SUMIFS(HY!164:164,HY!$14:$14,FY!M$4)</f>
        <v>-2.3026837243268261</v>
      </c>
      <c r="N132" s="325">
        <f>SUMIFS(HY!164:164,HY!$14:$14,FY!N$4)</f>
        <v>-2.339823784396613</v>
      </c>
      <c r="O132" s="325">
        <f>SUMIFS(HY!164:164,HY!$14:$14,FY!O$4)</f>
        <v>-2.456814973616444</v>
      </c>
      <c r="P132" s="325">
        <f>SUMIFS(HY!164:164,HY!$14:$14,FY!P$4)</f>
        <v>-2.5796557222972663</v>
      </c>
      <c r="Q132" s="325">
        <f>SUMIFS(HY!164:164,HY!$14:$14,FY!Q$4)</f>
        <v>-2.7086385084121294</v>
      </c>
    </row>
    <row r="133" spans="2:17" s="319" customFormat="1" x14ac:dyDescent="0.2">
      <c r="B133" s="234" t="s">
        <v>84</v>
      </c>
      <c r="C133" s="205"/>
      <c r="D133" s="234"/>
      <c r="E133" s="325"/>
      <c r="F133" s="325"/>
      <c r="G133" s="325"/>
      <c r="H133" s="325">
        <f>SUMIFS(HY!165:165,HY!$14:$14,FY!H$4)</f>
        <v>-11.6</v>
      </c>
      <c r="I133" s="325">
        <f>SUMIFS(HY!165:165,HY!$14:$14,FY!I$4)</f>
        <v>-19.5</v>
      </c>
      <c r="J133" s="325">
        <f>SUMIFS(HY!165:165,HY!$14:$14,FY!J$4)</f>
        <v>-8.6571327683615831</v>
      </c>
      <c r="K133" s="325">
        <f>SUMIFS(HY!165:165,HY!$14:$14,FY!K$4)</f>
        <v>-5.5785459154779682</v>
      </c>
      <c r="L133" s="325">
        <f>SUMIFS(HY!165:165,HY!$14:$14,FY!L$4)</f>
        <v>-2.2999447141965006</v>
      </c>
      <c r="M133" s="325">
        <f>SUMIFS(HY!165:165,HY!$14:$14,FY!M$4)</f>
        <v>-2.3026837243268261</v>
      </c>
      <c r="N133" s="325">
        <f>SUMIFS(HY!165:165,HY!$14:$14,FY!N$4)</f>
        <v>-2.339823784396613</v>
      </c>
      <c r="O133" s="325">
        <f>SUMIFS(HY!165:165,HY!$14:$14,FY!O$4)</f>
        <v>-2.456814973616444</v>
      </c>
      <c r="P133" s="325">
        <f>SUMIFS(HY!165:165,HY!$14:$14,FY!P$4)</f>
        <v>-2.5796557222972663</v>
      </c>
      <c r="Q133" s="325">
        <f>SUMIFS(HY!165:165,HY!$14:$14,FY!Q$4)</f>
        <v>-2.7086385084121294</v>
      </c>
    </row>
    <row r="134" spans="2:17" s="319" customFormat="1" x14ac:dyDescent="0.2">
      <c r="B134" s="234"/>
      <c r="C134" s="205"/>
      <c r="D134" s="234"/>
      <c r="E134" s="325"/>
      <c r="F134" s="325"/>
      <c r="G134" s="325"/>
      <c r="H134" s="325"/>
      <c r="I134" s="325"/>
      <c r="J134" s="325"/>
      <c r="K134" s="325"/>
      <c r="L134" s="325"/>
      <c r="M134" s="325"/>
      <c r="N134" s="325"/>
      <c r="O134" s="325"/>
      <c r="P134" s="325"/>
      <c r="Q134" s="325"/>
    </row>
    <row r="135" spans="2:17" x14ac:dyDescent="0.2">
      <c r="B135" s="564" t="s">
        <v>95</v>
      </c>
      <c r="C135" s="260"/>
      <c r="D135" s="251"/>
      <c r="E135" s="254"/>
      <c r="F135" s="254"/>
      <c r="G135" s="254"/>
      <c r="H135" s="329"/>
      <c r="I135" s="329"/>
      <c r="J135" s="329"/>
      <c r="K135" s="329"/>
      <c r="L135" s="329"/>
      <c r="M135" s="329"/>
      <c r="N135" s="329"/>
      <c r="O135" s="329"/>
      <c r="P135" s="329"/>
      <c r="Q135" s="329"/>
    </row>
    <row r="136" spans="2:17" s="319" customFormat="1" x14ac:dyDescent="0.2">
      <c r="B136" s="234" t="s">
        <v>97</v>
      </c>
      <c r="C136" s="205"/>
      <c r="D136" s="234"/>
      <c r="E136" s="325"/>
      <c r="F136" s="325"/>
      <c r="G136" s="325"/>
      <c r="H136" s="325">
        <f>SUMIFS(HY!172:172,HY!$14:$14,FY!H$4)</f>
        <v>-2.8</v>
      </c>
      <c r="I136" s="325">
        <f>SUMIFS(HY!172:172,HY!$14:$14,FY!I$4)</f>
        <v>-5.2</v>
      </c>
      <c r="J136" s="325">
        <f>SUMIFS(HY!172:172,HY!$14:$14,FY!J$4)</f>
        <v>-4.6571327683615831</v>
      </c>
      <c r="K136" s="325">
        <f>SUMIFS(HY!172:172,HY!$14:$14,FY!K$4)</f>
        <v>-4.5785459154779682</v>
      </c>
      <c r="L136" s="325">
        <f>SUMIFS(HY!172:172,HY!$14:$14,FY!L$4)</f>
        <v>-2.2999447141965006</v>
      </c>
      <c r="M136" s="325">
        <f>SUMIFS(HY!172:172,HY!$14:$14,FY!M$4)</f>
        <v>-2.3026837243268261</v>
      </c>
      <c r="N136" s="325">
        <f>SUMIFS(HY!172:172,HY!$14:$14,FY!N$4)</f>
        <v>-2.339823784396613</v>
      </c>
      <c r="O136" s="325">
        <f>SUMIFS(HY!172:172,HY!$14:$14,FY!O$4)</f>
        <v>-2.456814973616444</v>
      </c>
      <c r="P136" s="325">
        <f>SUMIFS(HY!172:172,HY!$14:$14,FY!P$4)</f>
        <v>-2.5796557222972663</v>
      </c>
      <c r="Q136" s="325">
        <f>SUMIFS(HY!172:172,HY!$14:$14,FY!Q$4)</f>
        <v>-2.7086385084121294</v>
      </c>
    </row>
    <row r="137" spans="2:17" s="319" customFormat="1" x14ac:dyDescent="0.2">
      <c r="B137" s="234" t="s">
        <v>98</v>
      </c>
      <c r="C137" s="205"/>
      <c r="D137" s="234"/>
      <c r="E137" s="325"/>
      <c r="F137" s="325"/>
      <c r="G137" s="325"/>
      <c r="H137" s="325">
        <f>SUMIFS(HY!173:173,HY!$14:$14,FY!H$4)</f>
        <v>0</v>
      </c>
      <c r="I137" s="325">
        <f>SUMIFS(HY!173:173,HY!$14:$14,FY!I$4)</f>
        <v>-4.4000000000000004</v>
      </c>
      <c r="J137" s="325">
        <f>SUMIFS(HY!173:173,HY!$14:$14,FY!J$4)</f>
        <v>0</v>
      </c>
      <c r="K137" s="325">
        <f>SUMIFS(HY!173:173,HY!$14:$14,FY!K$4)</f>
        <v>0</v>
      </c>
      <c r="L137" s="325">
        <f>SUMIFS(HY!173:173,HY!$14:$14,FY!L$4)</f>
        <v>0</v>
      </c>
      <c r="M137" s="325">
        <f>SUMIFS(HY!173:173,HY!$14:$14,FY!M$4)</f>
        <v>0</v>
      </c>
      <c r="N137" s="325">
        <f>SUMIFS(HY!173:173,HY!$14:$14,FY!N$4)</f>
        <v>0</v>
      </c>
      <c r="O137" s="325">
        <f>SUMIFS(HY!173:173,HY!$14:$14,FY!O$4)</f>
        <v>0</v>
      </c>
      <c r="P137" s="325">
        <f>SUMIFS(HY!173:173,HY!$14:$14,FY!P$4)</f>
        <v>0</v>
      </c>
      <c r="Q137" s="325">
        <f>SUMIFS(HY!173:173,HY!$14:$14,FY!Q$4)</f>
        <v>0</v>
      </c>
    </row>
    <row r="138" spans="2:17" s="319" customFormat="1" x14ac:dyDescent="0.2">
      <c r="B138" s="234" t="s">
        <v>99</v>
      </c>
      <c r="C138" s="205"/>
      <c r="D138" s="234"/>
      <c r="E138" s="325"/>
      <c r="F138" s="325"/>
      <c r="G138" s="325"/>
      <c r="H138" s="325">
        <f>SUMIFS(HY!174:174,HY!$14:$14,FY!H$4)</f>
        <v>0</v>
      </c>
      <c r="I138" s="325">
        <f>SUMIFS(HY!174:174,HY!$14:$14,FY!I$4)</f>
        <v>-6.2</v>
      </c>
      <c r="J138" s="325">
        <f>SUMIFS(HY!174:174,HY!$14:$14,FY!J$4)</f>
        <v>0</v>
      </c>
      <c r="K138" s="325">
        <f>SUMIFS(HY!174:174,HY!$14:$14,FY!K$4)</f>
        <v>0</v>
      </c>
      <c r="L138" s="325">
        <f>SUMIFS(HY!174:174,HY!$14:$14,FY!L$4)</f>
        <v>0</v>
      </c>
      <c r="M138" s="325">
        <f>SUMIFS(HY!174:174,HY!$14:$14,FY!M$4)</f>
        <v>0</v>
      </c>
      <c r="N138" s="325">
        <f>SUMIFS(HY!174:174,HY!$14:$14,FY!N$4)</f>
        <v>0</v>
      </c>
      <c r="O138" s="325">
        <f>SUMIFS(HY!174:174,HY!$14:$14,FY!O$4)</f>
        <v>0</v>
      </c>
      <c r="P138" s="325">
        <f>SUMIFS(HY!174:174,HY!$14:$14,FY!P$4)</f>
        <v>0</v>
      </c>
      <c r="Q138" s="325">
        <f>SUMIFS(HY!174:174,HY!$14:$14,FY!Q$4)</f>
        <v>0</v>
      </c>
    </row>
    <row r="139" spans="2:17" s="319" customFormat="1" x14ac:dyDescent="0.2">
      <c r="B139" s="234" t="s">
        <v>100</v>
      </c>
      <c r="C139" s="205"/>
      <c r="D139" s="234"/>
      <c r="E139" s="325"/>
      <c r="F139" s="325"/>
      <c r="G139" s="325"/>
      <c r="H139" s="325">
        <f>SUMIFS(HY!175:175,HY!$14:$14,FY!H$4)</f>
        <v>0</v>
      </c>
      <c r="I139" s="325">
        <f>SUMIFS(HY!175:175,HY!$14:$14,FY!I$4)</f>
        <v>0.5</v>
      </c>
      <c r="J139" s="325">
        <f>SUMIFS(HY!175:175,HY!$14:$14,FY!J$4)</f>
        <v>0</v>
      </c>
      <c r="K139" s="325">
        <f>SUMIFS(HY!175:175,HY!$14:$14,FY!K$4)</f>
        <v>0</v>
      </c>
      <c r="L139" s="325">
        <f>SUMIFS(HY!175:175,HY!$14:$14,FY!L$4)</f>
        <v>0</v>
      </c>
      <c r="M139" s="325">
        <f>SUMIFS(HY!175:175,HY!$14:$14,FY!M$4)</f>
        <v>0</v>
      </c>
      <c r="N139" s="325">
        <f>SUMIFS(HY!175:175,HY!$14:$14,FY!N$4)</f>
        <v>0</v>
      </c>
      <c r="O139" s="325">
        <f>SUMIFS(HY!175:175,HY!$14:$14,FY!O$4)</f>
        <v>0</v>
      </c>
      <c r="P139" s="325">
        <f>SUMIFS(HY!175:175,HY!$14:$14,FY!P$4)</f>
        <v>0</v>
      </c>
      <c r="Q139" s="325">
        <f>SUMIFS(HY!175:175,HY!$14:$14,FY!Q$4)</f>
        <v>0</v>
      </c>
    </row>
    <row r="140" spans="2:17" s="319" customFormat="1" x14ac:dyDescent="0.2">
      <c r="B140" s="234" t="s">
        <v>101</v>
      </c>
      <c r="C140" s="205"/>
      <c r="D140" s="234"/>
      <c r="E140" s="325"/>
      <c r="F140" s="325"/>
      <c r="G140" s="325"/>
      <c r="H140" s="325">
        <f>SUMIFS(HY!176:176,HY!$14:$14,FY!H$4)</f>
        <v>0</v>
      </c>
      <c r="I140" s="325">
        <f>SUMIFS(HY!176:176,HY!$14:$14,FY!I$4)</f>
        <v>-1.4</v>
      </c>
      <c r="J140" s="325">
        <f>SUMIFS(HY!176:176,HY!$14:$14,FY!J$4)</f>
        <v>-2</v>
      </c>
      <c r="K140" s="325">
        <f>SUMIFS(HY!176:176,HY!$14:$14,FY!K$4)</f>
        <v>0</v>
      </c>
      <c r="L140" s="325">
        <f>SUMIFS(HY!176:176,HY!$14:$14,FY!L$4)</f>
        <v>0</v>
      </c>
      <c r="M140" s="325">
        <f>SUMIFS(HY!176:176,HY!$14:$14,FY!M$4)</f>
        <v>0</v>
      </c>
      <c r="N140" s="325">
        <f>SUMIFS(HY!176:176,HY!$14:$14,FY!N$4)</f>
        <v>0</v>
      </c>
      <c r="O140" s="325">
        <f>SUMIFS(HY!176:176,HY!$14:$14,FY!O$4)</f>
        <v>0</v>
      </c>
      <c r="P140" s="325">
        <f>SUMIFS(HY!176:176,HY!$14:$14,FY!P$4)</f>
        <v>0</v>
      </c>
      <c r="Q140" s="325">
        <f>SUMIFS(HY!176:176,HY!$14:$14,FY!Q$4)</f>
        <v>0</v>
      </c>
    </row>
    <row r="141" spans="2:17" s="319" customFormat="1" x14ac:dyDescent="0.2">
      <c r="B141" s="234" t="s">
        <v>102</v>
      </c>
      <c r="C141" s="205"/>
      <c r="D141" s="234"/>
      <c r="E141" s="325"/>
      <c r="F141" s="325"/>
      <c r="G141" s="325"/>
      <c r="H141" s="325">
        <f>SUMIFS(HY!177:177,HY!$14:$14,FY!H$4)</f>
        <v>0</v>
      </c>
      <c r="I141" s="325">
        <f>SUMIFS(HY!177:177,HY!$14:$14,FY!I$4)</f>
        <v>-2.7</v>
      </c>
      <c r="J141" s="325">
        <f>SUMIFS(HY!177:177,HY!$14:$14,FY!J$4)</f>
        <v>-2</v>
      </c>
      <c r="K141" s="325">
        <f>SUMIFS(HY!177:177,HY!$14:$14,FY!K$4)</f>
        <v>-1</v>
      </c>
      <c r="L141" s="325">
        <f>SUMIFS(HY!177:177,HY!$14:$14,FY!L$4)</f>
        <v>0</v>
      </c>
      <c r="M141" s="325">
        <f>SUMIFS(HY!177:177,HY!$14:$14,FY!M$4)</f>
        <v>0</v>
      </c>
      <c r="N141" s="325">
        <f>SUMIFS(HY!177:177,HY!$14:$14,FY!N$4)</f>
        <v>0</v>
      </c>
      <c r="O141" s="325">
        <f>SUMIFS(HY!177:177,HY!$14:$14,FY!O$4)</f>
        <v>0</v>
      </c>
      <c r="P141" s="325">
        <f>SUMIFS(HY!177:177,HY!$14:$14,FY!P$4)</f>
        <v>0</v>
      </c>
      <c r="Q141" s="325">
        <f>SUMIFS(HY!177:177,HY!$14:$14,FY!Q$4)</f>
        <v>0</v>
      </c>
    </row>
    <row r="142" spans="2:17" x14ac:dyDescent="0.2">
      <c r="B142" s="270" t="s">
        <v>67</v>
      </c>
      <c r="C142" s="260"/>
      <c r="D142" s="251"/>
      <c r="E142" s="254"/>
      <c r="F142" s="254"/>
      <c r="G142" s="254"/>
      <c r="H142" s="254" t="s">
        <v>67</v>
      </c>
      <c r="I142" s="254" t="s">
        <v>67</v>
      </c>
      <c r="J142" s="254" t="s">
        <v>67</v>
      </c>
      <c r="K142" s="254" t="s">
        <v>67</v>
      </c>
      <c r="L142" s="254" t="s">
        <v>67</v>
      </c>
      <c r="M142" s="254" t="s">
        <v>67</v>
      </c>
      <c r="N142" s="254" t="s">
        <v>67</v>
      </c>
      <c r="O142" s="254" t="s">
        <v>67</v>
      </c>
      <c r="P142" s="254" t="s">
        <v>67</v>
      </c>
      <c r="Q142" s="254" t="s">
        <v>67</v>
      </c>
    </row>
    <row r="143" spans="2:17" s="319" customFormat="1" x14ac:dyDescent="0.2">
      <c r="B143" s="328" t="s">
        <v>103</v>
      </c>
      <c r="C143" s="400"/>
      <c r="D143" s="328"/>
      <c r="E143" s="329"/>
      <c r="F143" s="329"/>
      <c r="G143" s="329"/>
      <c r="H143" s="329">
        <f>SUMIFS(HY!178:178,HY!$14:$14,FY!H$4)</f>
        <v>0</v>
      </c>
      <c r="I143" s="329">
        <f>SUMIFS(HY!178:178,HY!$14:$14,FY!I$4)</f>
        <v>-19.400000000000002</v>
      </c>
      <c r="J143" s="329">
        <f>SUMIFS(HY!178:178,HY!$14:$14,FY!J$4)</f>
        <v>-8.6571327683615831</v>
      </c>
      <c r="K143" s="329">
        <f>SUMIFS(HY!178:178,HY!$14:$14,FY!K$4)</f>
        <v>-5.5785459154779682</v>
      </c>
      <c r="L143" s="329">
        <f>SUMIFS(HY!178:178,HY!$14:$14,FY!L$4)</f>
        <v>-2.2999447141965006</v>
      </c>
      <c r="M143" s="329">
        <f>SUMIFS(HY!178:178,HY!$14:$14,FY!M$4)</f>
        <v>-2.3026837243268261</v>
      </c>
      <c r="N143" s="329">
        <f>SUMIFS(HY!178:178,HY!$14:$14,FY!N$4)</f>
        <v>-2.339823784396613</v>
      </c>
      <c r="O143" s="329">
        <f>SUMIFS(HY!178:178,HY!$14:$14,FY!O$4)</f>
        <v>-2.456814973616444</v>
      </c>
      <c r="P143" s="329">
        <f>SUMIFS(HY!178:178,HY!$14:$14,FY!P$4)</f>
        <v>-2.5796557222972663</v>
      </c>
      <c r="Q143" s="329">
        <f>SUMIFS(HY!178:178,HY!$14:$14,FY!Q$4)</f>
        <v>-2.7086385084121294</v>
      </c>
    </row>
    <row r="144" spans="2:17" s="319" customFormat="1" x14ac:dyDescent="0.2">
      <c r="B144" s="234"/>
      <c r="C144" s="205"/>
      <c r="D144" s="234"/>
      <c r="E144" s="325"/>
      <c r="F144" s="325"/>
      <c r="G144" s="325"/>
      <c r="H144" s="325"/>
      <c r="I144" s="325"/>
      <c r="J144" s="325"/>
      <c r="K144" s="325"/>
      <c r="L144" s="325"/>
      <c r="M144" s="325"/>
      <c r="N144" s="325"/>
      <c r="O144" s="325"/>
      <c r="P144" s="325"/>
      <c r="Q144" s="325"/>
    </row>
    <row r="145" spans="1:17" s="503" customFormat="1" x14ac:dyDescent="0.2">
      <c r="A145" s="504" t="s">
        <v>7</v>
      </c>
      <c r="B145" s="500" t="s">
        <v>138</v>
      </c>
      <c r="C145" s="501"/>
      <c r="D145" s="500"/>
      <c r="E145" s="502"/>
      <c r="F145" s="502"/>
      <c r="G145" s="502"/>
      <c r="H145" s="502"/>
      <c r="I145" s="502"/>
      <c r="J145" s="502"/>
      <c r="K145" s="502"/>
      <c r="L145" s="502"/>
      <c r="M145" s="502"/>
      <c r="N145" s="502"/>
      <c r="O145" s="502"/>
      <c r="P145" s="502"/>
      <c r="Q145" s="502"/>
    </row>
    <row r="146" spans="1:17" x14ac:dyDescent="0.2">
      <c r="B146" s="341" t="s">
        <v>139</v>
      </c>
      <c r="D146" s="341"/>
      <c r="E146" s="325"/>
      <c r="F146" s="325"/>
      <c r="G146" s="325">
        <f>SUMIFS(HY!$E249:$AL249,HY!$E$14:$AL$14,FY!G$4)</f>
        <v>0.19999999999999996</v>
      </c>
      <c r="H146" s="325">
        <f>SUMIFS(HY!$E249:$AL249,HY!$E$14:$AL$14,FY!H$4)</f>
        <v>7.2</v>
      </c>
      <c r="I146" s="325">
        <f>SUMIFS(HY!$E249:$AL249,HY!$E$14:$AL$14,FY!I$4)</f>
        <v>-7.1</v>
      </c>
      <c r="J146" s="325">
        <f>SUMIFS(HY!$E249:$AL249,HY!$E$14:$AL$14,FY!J$4)</f>
        <v>16.471692986595372</v>
      </c>
      <c r="K146" s="325">
        <f>SUMIFS(HY!$E249:$AL249,HY!$E$14:$AL$14,FY!K$4)</f>
        <v>21.580367708525142</v>
      </c>
      <c r="L146" s="325">
        <f>SUMIFS(HY!$E249:$AL249,HY!$E$14:$AL$14,FY!L$4)</f>
        <v>25.531053994271389</v>
      </c>
      <c r="M146" s="325">
        <f>SUMIFS(HY!$E249:$AL249,HY!$E$14:$AL$14,FY!M$4)</f>
        <v>28.423655630834983</v>
      </c>
      <c r="N146" s="325">
        <f>SUMIFS(HY!$E249:$AL249,HY!$E$14:$AL$14,FY!N$4)</f>
        <v>30.971771014470328</v>
      </c>
      <c r="O146" s="325">
        <f>SUMIFS(HY!$E249:$AL249,HY!$E$14:$AL$14,FY!O$4)</f>
        <v>32.533472289193867</v>
      </c>
      <c r="P146" s="325">
        <f>SUMIFS(HY!$E249:$AL249,HY!$E$14:$AL$14,FY!P$4)</f>
        <v>34.173652009373534</v>
      </c>
      <c r="Q146" s="325">
        <f>SUMIFS(HY!$E249:$AL249,HY!$E$14:$AL$14,FY!Q$4)</f>
        <v>35.896245898733802</v>
      </c>
    </row>
    <row r="147" spans="1:17" x14ac:dyDescent="0.2">
      <c r="B147" s="341" t="s">
        <v>140</v>
      </c>
      <c r="D147" s="341"/>
      <c r="E147" s="325"/>
      <c r="F147" s="325"/>
      <c r="G147" s="325">
        <f>SUMIFS(HY!$E250:$AL250,HY!$E$14:$AL$14,FY!G$4)</f>
        <v>-1.2</v>
      </c>
      <c r="H147" s="325">
        <f>SUMIFS(HY!$E250:$AL250,HY!$E$14:$AL$14,FY!H$4)</f>
        <v>-1.9000000000000004</v>
      </c>
      <c r="I147" s="325">
        <f>SUMIFS(HY!$E250:$AL250,HY!$E$14:$AL$14,FY!I$4)</f>
        <v>-2.2000000000000002</v>
      </c>
      <c r="J147" s="325">
        <f>SUMIFS(HY!$E250:$AL250,HY!$E$14:$AL$14,FY!J$4)</f>
        <v>-3.1315162958369278</v>
      </c>
      <c r="K147" s="325">
        <f>SUMIFS(HY!$E250:$AL250,HY!$E$14:$AL$14,FY!K$4)</f>
        <v>-3.0722527452691315</v>
      </c>
      <c r="L147" s="325">
        <f>SUMIFS(HY!$E250:$AL250,HY!$E$14:$AL$14,FY!L$4)</f>
        <v>-2.9181680516125295</v>
      </c>
      <c r="M147" s="325">
        <f>SUMIFS(HY!$E250:$AL250,HY!$E$14:$AL$14,FY!M$4)</f>
        <v>-2.7145078603249502</v>
      </c>
      <c r="N147" s="325">
        <f>SUMIFS(HY!$E250:$AL250,HY!$E$14:$AL$14,FY!N$4)</f>
        <v>-2.4678318960215213</v>
      </c>
      <c r="O147" s="325">
        <f>SUMIFS(HY!$E250:$AL250,HY!$E$14:$AL$14,FY!O$4)</f>
        <v>-2.199879652318053</v>
      </c>
      <c r="P147" s="325">
        <f>SUMIFS(HY!$E250:$AL250,HY!$E$14:$AL$14,FY!P$4)</f>
        <v>-1.9029678381200241</v>
      </c>
      <c r="Q147" s="325">
        <f>SUMIFS(HY!$E250:$AL250,HY!$E$14:$AL$14,FY!Q$4)</f>
        <v>-1.5930165882717675</v>
      </c>
    </row>
    <row r="148" spans="1:17" x14ac:dyDescent="0.2">
      <c r="B148" s="341" t="s">
        <v>141</v>
      </c>
      <c r="D148" s="341"/>
      <c r="E148" s="325"/>
      <c r="F148" s="325"/>
      <c r="G148" s="325">
        <f>SUMIFS(HY!$E251:$AL251,HY!$E$14:$AL$14,FY!G$4)</f>
        <v>0</v>
      </c>
      <c r="H148" s="325">
        <f>SUMIFS(HY!$E251:$AL251,HY!$E$14:$AL$14,FY!H$4)</f>
        <v>0</v>
      </c>
      <c r="I148" s="325">
        <f>SUMIFS(HY!$E251:$AL251,HY!$E$14:$AL$14,FY!I$4)</f>
        <v>0</v>
      </c>
      <c r="J148" s="325">
        <f>SUMIFS(HY!$E251:$AL251,HY!$E$14:$AL$14,FY!J$4)</f>
        <v>-1.5511322288443461</v>
      </c>
      <c r="K148" s="325">
        <f>SUMIFS(HY!$E251:$AL251,HY!$E$14:$AL$14,FY!K$4)</f>
        <v>-2.80241369831533</v>
      </c>
      <c r="L148" s="325">
        <f>SUMIFS(HY!$E251:$AL251,HY!$E$14:$AL$14,FY!L$4)</f>
        <v>-3.7032450730111011</v>
      </c>
      <c r="M148" s="325">
        <f>SUMIFS(HY!$E251:$AL251,HY!$E$14:$AL$14,FY!M$4)</f>
        <v>-4.591194715530623</v>
      </c>
      <c r="N148" s="325">
        <f>SUMIFS(HY!$E251:$AL251,HY!$E$14:$AL$14,FY!N$4)</f>
        <v>-5.408194497844959</v>
      </c>
      <c r="O148" s="325">
        <f>SUMIFS(HY!$E251:$AL251,HY!$E$14:$AL$14,FY!O$4)</f>
        <v>-5.9069022512702105</v>
      </c>
      <c r="P148" s="325">
        <f>SUMIFS(HY!$E251:$AL251,HY!$E$14:$AL$14,FY!P$4)</f>
        <v>-6.41334330770019</v>
      </c>
      <c r="Q148" s="325">
        <f>SUMIFS(HY!$E251:$AL251,HY!$E$14:$AL$14,FY!Q$4)</f>
        <v>-6.9272177972655733</v>
      </c>
    </row>
    <row r="149" spans="1:17" x14ac:dyDescent="0.2">
      <c r="B149" s="341" t="s">
        <v>142</v>
      </c>
      <c r="D149" s="341"/>
      <c r="E149" s="325"/>
      <c r="F149" s="325"/>
      <c r="G149" s="325">
        <f>SUMIFS(HY!$E252:$AL252,HY!$E$14:$AL$14,FY!G$4)</f>
        <v>0</v>
      </c>
      <c r="H149" s="325">
        <f>SUMIFS(HY!$E252:$AL252,HY!$E$14:$AL$14,FY!H$4)</f>
        <v>3.9999999999999982</v>
      </c>
      <c r="I149" s="325">
        <f>SUMIFS(HY!$E252:$AL252,HY!$E$14:$AL$14,FY!I$4)</f>
        <v>5.1999999999999993</v>
      </c>
      <c r="J149" s="325">
        <f>SUMIFS(HY!$E252:$AL252,HY!$E$14:$AL$14,FY!J$4)</f>
        <v>1.9712009839572318</v>
      </c>
      <c r="K149" s="325">
        <f>SUMIFS(HY!$E252:$AL252,HY!$E$14:$AL$14,FY!K$4)</f>
        <v>1.3135600491978572</v>
      </c>
      <c r="L149" s="325">
        <f>SUMIFS(HY!$E252:$AL252,HY!$E$14:$AL$14,FY!L$4)</f>
        <v>1.3792380516577545</v>
      </c>
      <c r="M149" s="325">
        <f>SUMIFS(HY!$E252:$AL252,HY!$E$14:$AL$14,FY!M$4)</f>
        <v>1.4481999542406498</v>
      </c>
      <c r="N149" s="325">
        <f>SUMIFS(HY!$E252:$AL252,HY!$E$14:$AL$14,FY!N$4)</f>
        <v>1.5206099519526752</v>
      </c>
      <c r="O149" s="325">
        <f>SUMIFS(HY!$E252:$AL252,HY!$E$14:$AL$14,FY!O$4)</f>
        <v>1.5966404495503106</v>
      </c>
      <c r="P149" s="325">
        <f>SUMIFS(HY!$E252:$AL252,HY!$E$14:$AL$14,FY!P$4)</f>
        <v>1.6764724720278323</v>
      </c>
      <c r="Q149" s="325">
        <f>SUMIFS(HY!$E252:$AL252,HY!$E$14:$AL$14,FY!Q$4)</f>
        <v>1.7602960956292151</v>
      </c>
    </row>
    <row r="150" spans="1:17" x14ac:dyDescent="0.2">
      <c r="B150" s="341" t="s">
        <v>101</v>
      </c>
      <c r="D150" s="341"/>
      <c r="E150" s="325"/>
      <c r="F150" s="325"/>
      <c r="G150" s="325">
        <f>SUMIFS(HY!$E253:$AL253,HY!$E$14:$AL$14,FY!G$4)</f>
        <v>-12.3</v>
      </c>
      <c r="H150" s="325">
        <f>SUMIFS(HY!$E253:$AL253,HY!$E$14:$AL$14,FY!H$4)</f>
        <v>-28.599999999999998</v>
      </c>
      <c r="I150" s="325">
        <f>SUMIFS(HY!$E253:$AL253,HY!$E$14:$AL$14,FY!I$4)</f>
        <v>-21.6</v>
      </c>
      <c r="J150" s="325">
        <f>SUMIFS(HY!$E253:$AL253,HY!$E$14:$AL$14,FY!J$4)</f>
        <v>-2</v>
      </c>
      <c r="K150" s="325">
        <f>SUMIFS(HY!$E253:$AL253,HY!$E$14:$AL$14,FY!K$4)</f>
        <v>0</v>
      </c>
      <c r="L150" s="325">
        <f>SUMIFS(HY!$E253:$AL253,HY!$E$14:$AL$14,FY!L$4)</f>
        <v>0</v>
      </c>
      <c r="M150" s="325">
        <f>SUMIFS(HY!$E253:$AL253,HY!$E$14:$AL$14,FY!M$4)</f>
        <v>0</v>
      </c>
      <c r="N150" s="325">
        <f>SUMIFS(HY!$E253:$AL253,HY!$E$14:$AL$14,FY!N$4)</f>
        <v>0</v>
      </c>
      <c r="O150" s="325">
        <f>SUMIFS(HY!$E253:$AL253,HY!$E$14:$AL$14,FY!O$4)</f>
        <v>0</v>
      </c>
      <c r="P150" s="325">
        <f>SUMIFS(HY!$E253:$AL253,HY!$E$14:$AL$14,FY!P$4)</f>
        <v>0</v>
      </c>
      <c r="Q150" s="325">
        <f>SUMIFS(HY!$E253:$AL253,HY!$E$14:$AL$14,FY!Q$4)</f>
        <v>0</v>
      </c>
    </row>
    <row r="151" spans="1:17" x14ac:dyDescent="0.2">
      <c r="B151" s="251" t="s">
        <v>67</v>
      </c>
      <c r="C151" s="260"/>
      <c r="D151" s="251"/>
      <c r="E151" s="254"/>
      <c r="F151" s="254"/>
      <c r="G151" s="254" t="s">
        <v>67</v>
      </c>
      <c r="H151" s="254" t="s">
        <v>67</v>
      </c>
      <c r="I151" s="254" t="s">
        <v>67</v>
      </c>
      <c r="J151" s="254" t="s">
        <v>67</v>
      </c>
      <c r="K151" s="254" t="s">
        <v>67</v>
      </c>
      <c r="L151" s="254" t="s">
        <v>67</v>
      </c>
      <c r="M151" s="254" t="s">
        <v>67</v>
      </c>
      <c r="N151" s="254" t="s">
        <v>67</v>
      </c>
      <c r="O151" s="254" t="s">
        <v>67</v>
      </c>
      <c r="P151" s="254" t="s">
        <v>67</v>
      </c>
      <c r="Q151" s="254" t="s">
        <v>67</v>
      </c>
    </row>
    <row r="152" spans="1:17" s="319" customFormat="1" x14ac:dyDescent="0.2">
      <c r="B152" s="328" t="s">
        <v>1206</v>
      </c>
      <c r="C152" s="317"/>
      <c r="D152" s="328"/>
      <c r="E152" s="329"/>
      <c r="F152" s="329"/>
      <c r="G152" s="329">
        <f>SUMIFS(HY!$E255:$AL255,HY!$E$14:$AL$14,FY!G$4)</f>
        <v>-13.3</v>
      </c>
      <c r="H152" s="329">
        <f>SUMIFS(HY!$E255:$AL255,HY!$E$14:$AL$14,FY!H$4)</f>
        <v>-19.3</v>
      </c>
      <c r="I152" s="329">
        <f>SUMIFS(HY!$E255:$AL255,HY!$E$14:$AL$14,FY!I$4)</f>
        <v>-25.7</v>
      </c>
      <c r="J152" s="329">
        <f>SUMIFS(HY!$E255:$AL255,HY!$E$14:$AL$14,FY!J$4)</f>
        <v>11.76024544587133</v>
      </c>
      <c r="K152" s="329">
        <f>SUMIFS(HY!$E255:$AL255,HY!$E$14:$AL$14,FY!K$4)</f>
        <v>17.019261314138536</v>
      </c>
      <c r="L152" s="329">
        <f>SUMIFS(HY!$E255:$AL255,HY!$E$14:$AL$14,FY!L$4)</f>
        <v>20.288878921305511</v>
      </c>
      <c r="M152" s="329">
        <f>SUMIFS(HY!$E255:$AL255,HY!$E$14:$AL$14,FY!M$4)</f>
        <v>22.566153009220059</v>
      </c>
      <c r="N152" s="329">
        <f>SUMIFS(HY!$E255:$AL255,HY!$E$14:$AL$14,FY!N$4)</f>
        <v>24.616354572556524</v>
      </c>
      <c r="O152" s="329">
        <f>SUMIFS(HY!$E255:$AL255,HY!$E$14:$AL$14,FY!O$4)</f>
        <v>26.023330835155917</v>
      </c>
      <c r="P152" s="329">
        <f>SUMIFS(HY!$E255:$AL255,HY!$E$14:$AL$14,FY!P$4)</f>
        <v>27.533813335581151</v>
      </c>
      <c r="Q152" s="329">
        <f>SUMIFS(HY!$E255:$AL255,HY!$E$14:$AL$14,FY!Q$4)</f>
        <v>29.136307608825678</v>
      </c>
    </row>
    <row r="153" spans="1:17" x14ac:dyDescent="0.2">
      <c r="B153" s="334"/>
      <c r="D153" s="334"/>
      <c r="E153" s="322"/>
      <c r="F153" s="322"/>
      <c r="G153" s="322"/>
      <c r="H153" s="322"/>
      <c r="I153" s="322"/>
      <c r="J153" s="322"/>
      <c r="K153" s="322"/>
      <c r="L153" s="322"/>
      <c r="M153" s="322"/>
      <c r="N153" s="322"/>
      <c r="O153" s="322"/>
      <c r="P153" s="322"/>
      <c r="Q153" s="322"/>
    </row>
    <row r="154" spans="1:17" x14ac:dyDescent="0.2">
      <c r="B154" s="326" t="s">
        <v>144</v>
      </c>
      <c r="D154" s="326"/>
      <c r="E154" s="325"/>
      <c r="F154" s="325"/>
      <c r="G154" s="325">
        <f>SUMIFS(HY!$E258:$AL258,HY!$E$14:$AL$14,FY!G$4)</f>
        <v>0</v>
      </c>
      <c r="H154" s="325">
        <f>SUMIFS(HY!$E258:$AL258,HY!$E$14:$AL$14,FY!H$4)</f>
        <v>-0.4</v>
      </c>
      <c r="I154" s="325">
        <f>SUMIFS(HY!$E258:$AL258,HY!$E$14:$AL$14,FY!I$4)</f>
        <v>-0.3</v>
      </c>
      <c r="J154" s="325">
        <f>SUMIFS(HY!$E258:$AL258,HY!$E$14:$AL$14,FY!J$4)</f>
        <v>0</v>
      </c>
      <c r="K154" s="325">
        <f>SUMIFS(HY!$E258:$AL258,HY!$E$14:$AL$14,FY!K$4)</f>
        <v>0</v>
      </c>
      <c r="L154" s="325">
        <f>SUMIFS(HY!$E258:$AL258,HY!$E$14:$AL$14,FY!L$4)</f>
        <v>0</v>
      </c>
      <c r="M154" s="325">
        <f>SUMIFS(HY!$E258:$AL258,HY!$E$14:$AL$14,FY!M$4)</f>
        <v>0</v>
      </c>
      <c r="N154" s="325">
        <f>SUMIFS(HY!$E258:$AL258,HY!$E$14:$AL$14,FY!N$4)</f>
        <v>0</v>
      </c>
      <c r="O154" s="325">
        <f>SUMIFS(HY!$E258:$AL258,HY!$E$14:$AL$14,FY!O$4)</f>
        <v>0</v>
      </c>
      <c r="P154" s="325">
        <f>SUMIFS(HY!$E258:$AL258,HY!$E$14:$AL$14,FY!P$4)</f>
        <v>0</v>
      </c>
      <c r="Q154" s="325">
        <f>SUMIFS(HY!$E258:$AL258,HY!$E$14:$AL$14,FY!Q$4)</f>
        <v>0</v>
      </c>
    </row>
    <row r="155" spans="1:17" x14ac:dyDescent="0.2">
      <c r="B155" s="326" t="s">
        <v>145</v>
      </c>
      <c r="D155" s="326"/>
      <c r="E155" s="325"/>
      <c r="F155" s="325"/>
      <c r="G155" s="325">
        <f>SUMIFS(HY!$E259:$AL259,HY!$E$14:$AL$14,FY!G$4)</f>
        <v>-3.3</v>
      </c>
      <c r="H155" s="325">
        <f>SUMIFS(HY!$E259:$AL259,HY!$E$14:$AL$14,FY!H$4)</f>
        <v>-5.7</v>
      </c>
      <c r="I155" s="325">
        <f>SUMIFS(HY!$E259:$AL259,HY!$E$14:$AL$14,FY!I$4)</f>
        <v>-8.6999999999999993</v>
      </c>
      <c r="J155" s="325">
        <f>SUMIFS(HY!$E259:$AL259,HY!$E$14:$AL$14,FY!J$4)</f>
        <v>-10.021676216280451</v>
      </c>
      <c r="K155" s="325">
        <f>SUMIFS(HY!$E259:$AL259,HY!$E$14:$AL$14,FY!K$4)</f>
        <v>-10.522760027094474</v>
      </c>
      <c r="L155" s="325">
        <f>SUMIFS(HY!$E259:$AL259,HY!$E$14:$AL$14,FY!L$4)</f>
        <v>-11.048898028449198</v>
      </c>
      <c r="M155" s="325">
        <f>SUMIFS(HY!$E259:$AL259,HY!$E$14:$AL$14,FY!M$4)</f>
        <v>-10.611445734225004</v>
      </c>
      <c r="N155" s="325">
        <f>SUMIFS(HY!$E259:$AL259,HY!$E$14:$AL$14,FY!N$4)</f>
        <v>-11.142018020936252</v>
      </c>
      <c r="O155" s="325">
        <f>SUMIFS(HY!$E259:$AL259,HY!$E$14:$AL$14,FY!O$4)</f>
        <v>-11.699118921983068</v>
      </c>
      <c r="P155" s="325">
        <f>SUMIFS(HY!$E259:$AL259,HY!$E$14:$AL$14,FY!P$4)</f>
        <v>-12.28407486808222</v>
      </c>
      <c r="Q155" s="325">
        <f>SUMIFS(HY!$E259:$AL259,HY!$E$14:$AL$14,FY!Q$4)</f>
        <v>-12.898278611486329</v>
      </c>
    </row>
    <row r="156" spans="1:17" x14ac:dyDescent="0.2">
      <c r="B156" s="326" t="s">
        <v>146</v>
      </c>
      <c r="D156" s="326"/>
      <c r="E156" s="325"/>
      <c r="F156" s="325"/>
      <c r="G156" s="325">
        <f>SUMIFS(HY!$E260:$AL260,HY!$E$14:$AL$14,FY!G$4)</f>
        <v>0</v>
      </c>
      <c r="H156" s="325">
        <f>SUMIFS(HY!$E260:$AL260,HY!$E$14:$AL$14,FY!H$4)</f>
        <v>0</v>
      </c>
      <c r="I156" s="325">
        <f>SUMIFS(HY!$E260:$AL260,HY!$E$14:$AL$14,FY!I$4)</f>
        <v>0</v>
      </c>
      <c r="J156" s="325">
        <f>SUMIFS(HY!$E260:$AL260,HY!$E$14:$AL$14,FY!J$4)</f>
        <v>0</v>
      </c>
      <c r="K156" s="325">
        <f>SUMIFS(HY!$E260:$AL260,HY!$E$14:$AL$14,FY!K$4)</f>
        <v>0</v>
      </c>
      <c r="L156" s="325">
        <f>SUMIFS(HY!$E260:$AL260,HY!$E$14:$AL$14,FY!L$4)</f>
        <v>0</v>
      </c>
      <c r="M156" s="325">
        <f>SUMIFS(HY!$E260:$AL260,HY!$E$14:$AL$14,FY!M$4)</f>
        <v>0</v>
      </c>
      <c r="N156" s="325">
        <f>SUMIFS(HY!$E260:$AL260,HY!$E$14:$AL$14,FY!N$4)</f>
        <v>0</v>
      </c>
      <c r="O156" s="325">
        <f>SUMIFS(HY!$E260:$AL260,HY!$E$14:$AL$14,FY!O$4)</f>
        <v>0</v>
      </c>
      <c r="P156" s="325">
        <f>SUMIFS(HY!$E260:$AL260,HY!$E$14:$AL$14,FY!P$4)</f>
        <v>0</v>
      </c>
      <c r="Q156" s="325">
        <f>SUMIFS(HY!$E260:$AL260,HY!$E$14:$AL$14,FY!Q$4)</f>
        <v>0</v>
      </c>
    </row>
    <row r="157" spans="1:17" x14ac:dyDescent="0.2">
      <c r="B157" s="326" t="s">
        <v>147</v>
      </c>
      <c r="D157" s="326"/>
      <c r="E157" s="325"/>
      <c r="F157" s="325"/>
      <c r="G157" s="325">
        <f>SUMIFS(HY!$E261:$AL261,HY!$E$14:$AL$14,FY!G$4)</f>
        <v>0</v>
      </c>
      <c r="H157" s="325">
        <f>SUMIFS(HY!$E261:$AL261,HY!$E$14:$AL$14,FY!H$4)</f>
        <v>0.4</v>
      </c>
      <c r="I157" s="325">
        <f>SUMIFS(HY!$E261:$AL261,HY!$E$14:$AL$14,FY!I$4)</f>
        <v>0</v>
      </c>
      <c r="J157" s="325">
        <f>SUMIFS(HY!$E261:$AL261,HY!$E$14:$AL$14,FY!J$4)</f>
        <v>0</v>
      </c>
      <c r="K157" s="325">
        <f>SUMIFS(HY!$E261:$AL261,HY!$E$14:$AL$14,FY!K$4)</f>
        <v>0</v>
      </c>
      <c r="L157" s="325">
        <f>SUMIFS(HY!$E261:$AL261,HY!$E$14:$AL$14,FY!L$4)</f>
        <v>0</v>
      </c>
      <c r="M157" s="325">
        <f>SUMIFS(HY!$E261:$AL261,HY!$E$14:$AL$14,FY!M$4)</f>
        <v>0</v>
      </c>
      <c r="N157" s="325">
        <f>SUMIFS(HY!$E261:$AL261,HY!$E$14:$AL$14,FY!N$4)</f>
        <v>0</v>
      </c>
      <c r="O157" s="325">
        <f>SUMIFS(HY!$E261:$AL261,HY!$E$14:$AL$14,FY!O$4)</f>
        <v>0</v>
      </c>
      <c r="P157" s="325">
        <f>SUMIFS(HY!$E261:$AL261,HY!$E$14:$AL$14,FY!P$4)</f>
        <v>0</v>
      </c>
      <c r="Q157" s="325">
        <f>SUMIFS(HY!$E261:$AL261,HY!$E$14:$AL$14,FY!Q$4)</f>
        <v>0</v>
      </c>
    </row>
    <row r="158" spans="1:17" x14ac:dyDescent="0.2">
      <c r="B158" s="326" t="s">
        <v>148</v>
      </c>
      <c r="D158" s="326"/>
      <c r="E158" s="325"/>
      <c r="F158" s="325"/>
      <c r="G158" s="325">
        <f>SUMIFS(HY!$E262:$AL262,HY!$E$14:$AL$14,FY!G$4)</f>
        <v>0</v>
      </c>
      <c r="H158" s="325">
        <f>SUMIFS(HY!$E262:$AL262,HY!$E$14:$AL$14,FY!H$4)</f>
        <v>-72.5</v>
      </c>
      <c r="I158" s="325">
        <f>SUMIFS(HY!$E262:$AL262,HY!$E$14:$AL$14,FY!I$4)</f>
        <v>0</v>
      </c>
      <c r="J158" s="325">
        <f>SUMIFS(HY!$E262:$AL262,HY!$E$14:$AL$14,FY!J$4)</f>
        <v>0</v>
      </c>
      <c r="K158" s="325">
        <f>SUMIFS(HY!$E262:$AL262,HY!$E$14:$AL$14,FY!K$4)</f>
        <v>0</v>
      </c>
      <c r="L158" s="325">
        <f>SUMIFS(HY!$E262:$AL262,HY!$E$14:$AL$14,FY!L$4)</f>
        <v>0</v>
      </c>
      <c r="M158" s="325">
        <f>SUMIFS(HY!$E262:$AL262,HY!$E$14:$AL$14,FY!M$4)</f>
        <v>0</v>
      </c>
      <c r="N158" s="325">
        <f>SUMIFS(HY!$E262:$AL262,HY!$E$14:$AL$14,FY!N$4)</f>
        <v>0</v>
      </c>
      <c r="O158" s="325">
        <f>SUMIFS(HY!$E262:$AL262,HY!$E$14:$AL$14,FY!O$4)</f>
        <v>0</v>
      </c>
      <c r="P158" s="325">
        <f>SUMIFS(HY!$E262:$AL262,HY!$E$14:$AL$14,FY!P$4)</f>
        <v>0</v>
      </c>
      <c r="Q158" s="325">
        <f>SUMIFS(HY!$E262:$AL262,HY!$E$14:$AL$14,FY!Q$4)</f>
        <v>0</v>
      </c>
    </row>
    <row r="159" spans="1:17" x14ac:dyDescent="0.2">
      <c r="B159" s="326" t="s">
        <v>101</v>
      </c>
      <c r="D159" s="326"/>
      <c r="E159" s="325"/>
      <c r="F159" s="325"/>
      <c r="G159" s="325">
        <f>SUMIFS(HY!$E263:$AL263,HY!$E$14:$AL$14,FY!G$4)</f>
        <v>0</v>
      </c>
      <c r="H159" s="325">
        <f>SUMIFS(HY!$E263:$AL263,HY!$E$14:$AL$14,FY!H$4)</f>
        <v>8.4</v>
      </c>
      <c r="I159" s="325">
        <f>SUMIFS(HY!$E263:$AL263,HY!$E$14:$AL$14,FY!I$4)</f>
        <v>0</v>
      </c>
      <c r="J159" s="325">
        <f>SUMIFS(HY!$E263:$AL263,HY!$E$14:$AL$14,FY!J$4)</f>
        <v>0</v>
      </c>
      <c r="K159" s="325">
        <f>SUMIFS(HY!$E263:$AL263,HY!$E$14:$AL$14,FY!K$4)</f>
        <v>0</v>
      </c>
      <c r="L159" s="325">
        <f>SUMIFS(HY!$E263:$AL263,HY!$E$14:$AL$14,FY!L$4)</f>
        <v>0</v>
      </c>
      <c r="M159" s="325">
        <f>SUMIFS(HY!$E263:$AL263,HY!$E$14:$AL$14,FY!M$4)</f>
        <v>0</v>
      </c>
      <c r="N159" s="325">
        <f>SUMIFS(HY!$E263:$AL263,HY!$E$14:$AL$14,FY!N$4)</f>
        <v>0</v>
      </c>
      <c r="O159" s="325">
        <f>SUMIFS(HY!$E263:$AL263,HY!$E$14:$AL$14,FY!O$4)</f>
        <v>0</v>
      </c>
      <c r="P159" s="325">
        <f>SUMIFS(HY!$E263:$AL263,HY!$E$14:$AL$14,FY!P$4)</f>
        <v>0</v>
      </c>
      <c r="Q159" s="325">
        <f>SUMIFS(HY!$E263:$AL263,HY!$E$14:$AL$14,FY!Q$4)</f>
        <v>0</v>
      </c>
    </row>
    <row r="160" spans="1:17" x14ac:dyDescent="0.2">
      <c r="B160" s="251" t="s">
        <v>67</v>
      </c>
      <c r="C160" s="260"/>
      <c r="D160" s="251"/>
      <c r="E160" s="254"/>
      <c r="F160" s="254"/>
      <c r="G160" s="254" t="s">
        <v>67</v>
      </c>
      <c r="H160" s="254" t="s">
        <v>67</v>
      </c>
      <c r="I160" s="254" t="s">
        <v>67</v>
      </c>
      <c r="J160" s="254" t="s">
        <v>67</v>
      </c>
      <c r="K160" s="254" t="s">
        <v>67</v>
      </c>
      <c r="L160" s="254" t="s">
        <v>67</v>
      </c>
      <c r="M160" s="254" t="s">
        <v>67</v>
      </c>
      <c r="N160" s="254" t="s">
        <v>67</v>
      </c>
      <c r="O160" s="254" t="s">
        <v>67</v>
      </c>
      <c r="P160" s="254" t="s">
        <v>67</v>
      </c>
      <c r="Q160" s="254" t="s">
        <v>67</v>
      </c>
    </row>
    <row r="161" spans="2:17" s="319" customFormat="1" x14ac:dyDescent="0.2">
      <c r="B161" s="328" t="s">
        <v>1207</v>
      </c>
      <c r="C161" s="317"/>
      <c r="D161" s="328"/>
      <c r="E161" s="329"/>
      <c r="F161" s="329"/>
      <c r="G161" s="329">
        <f>SUMIFS(HY!$E265:$AL265,HY!$E$14:$AL$14,FY!G$4)</f>
        <v>-3.3</v>
      </c>
      <c r="H161" s="329">
        <f>SUMIFS(HY!$E265:$AL265,HY!$E$14:$AL$14,FY!H$4)</f>
        <v>-69.8</v>
      </c>
      <c r="I161" s="329">
        <f>SUMIFS(HY!$E265:$AL265,HY!$E$14:$AL$14,FY!I$4)</f>
        <v>-9</v>
      </c>
      <c r="J161" s="329">
        <f>SUMIFS(HY!$E265:$AL265,HY!$E$14:$AL$14,FY!J$4)</f>
        <v>-10.021676216280451</v>
      </c>
      <c r="K161" s="329">
        <f>SUMIFS(HY!$E265:$AL265,HY!$E$14:$AL$14,FY!K$4)</f>
        <v>-10.522760027094474</v>
      </c>
      <c r="L161" s="329">
        <f>SUMIFS(HY!$E265:$AL265,HY!$E$14:$AL$14,FY!L$4)</f>
        <v>-11.048898028449198</v>
      </c>
      <c r="M161" s="329">
        <f>SUMIFS(HY!$E265:$AL265,HY!$E$14:$AL$14,FY!M$4)</f>
        <v>-10.611445734225004</v>
      </c>
      <c r="N161" s="329">
        <f>SUMIFS(HY!$E265:$AL265,HY!$E$14:$AL$14,FY!N$4)</f>
        <v>-11.142018020936252</v>
      </c>
      <c r="O161" s="329">
        <f>SUMIFS(HY!$E265:$AL265,HY!$E$14:$AL$14,FY!O$4)</f>
        <v>-11.699118921983068</v>
      </c>
      <c r="P161" s="329">
        <f>SUMIFS(HY!$E265:$AL265,HY!$E$14:$AL$14,FY!P$4)</f>
        <v>-12.28407486808222</v>
      </c>
      <c r="Q161" s="329">
        <f>SUMIFS(HY!$E265:$AL265,HY!$E$14:$AL$14,FY!Q$4)</f>
        <v>-12.898278611486329</v>
      </c>
    </row>
    <row r="162" spans="2:17" x14ac:dyDescent="0.2">
      <c r="B162" s="334"/>
      <c r="D162" s="334"/>
      <c r="E162" s="342"/>
      <c r="F162" s="342"/>
      <c r="G162" s="342"/>
      <c r="H162" s="342"/>
      <c r="I162" s="342"/>
      <c r="J162" s="342"/>
      <c r="K162" s="342"/>
      <c r="L162" s="342"/>
      <c r="M162" s="342"/>
      <c r="N162" s="342"/>
      <c r="O162" s="342"/>
      <c r="P162" s="342"/>
      <c r="Q162" s="342"/>
    </row>
    <row r="163" spans="2:17" x14ac:dyDescent="0.2">
      <c r="B163" s="234" t="s">
        <v>150</v>
      </c>
      <c r="C163" s="205"/>
      <c r="D163" s="234"/>
      <c r="E163" s="325"/>
      <c r="F163" s="325"/>
      <c r="G163" s="325">
        <f>SUMIFS(HY!$E268:$AL268,HY!$E$14:$AL$14,FY!G$4)</f>
        <v>0</v>
      </c>
      <c r="H163" s="325">
        <f>SUMIFS(HY!$E268:$AL268,HY!$E$14:$AL$14,FY!H$4)</f>
        <v>0</v>
      </c>
      <c r="I163" s="325">
        <f>SUMIFS(HY!$E268:$AL268,HY!$E$14:$AL$14,FY!I$4)</f>
        <v>0</v>
      </c>
      <c r="J163" s="325">
        <f>SUMIFS(HY!$E268:$AL268,HY!$E$14:$AL$14,FY!J$4)</f>
        <v>0</v>
      </c>
      <c r="K163" s="325">
        <f>SUMIFS(HY!$E268:$AL268,HY!$E$14:$AL$14,FY!K$4)</f>
        <v>0</v>
      </c>
      <c r="L163" s="325">
        <f>SUMIFS(HY!$E268:$AL268,HY!$E$14:$AL$14,FY!L$4)</f>
        <v>0</v>
      </c>
      <c r="M163" s="325">
        <f>SUMIFS(HY!$E268:$AL268,HY!$E$14:$AL$14,FY!M$4)</f>
        <v>0</v>
      </c>
      <c r="N163" s="325">
        <f>SUMIFS(HY!$E268:$AL268,HY!$E$14:$AL$14,FY!N$4)</f>
        <v>0</v>
      </c>
      <c r="O163" s="325">
        <f>SUMIFS(HY!$E268:$AL268,HY!$E$14:$AL$14,FY!O$4)</f>
        <v>0</v>
      </c>
      <c r="P163" s="325">
        <f>SUMIFS(HY!$E268:$AL268,HY!$E$14:$AL$14,FY!P$4)</f>
        <v>0</v>
      </c>
      <c r="Q163" s="325">
        <f>SUMIFS(HY!$E268:$AL268,HY!$E$14:$AL$14,FY!Q$4)</f>
        <v>0</v>
      </c>
    </row>
    <row r="164" spans="2:17" x14ac:dyDescent="0.2">
      <c r="B164" s="234" t="s">
        <v>151</v>
      </c>
      <c r="C164" s="205"/>
      <c r="D164" s="234"/>
      <c r="E164" s="325"/>
      <c r="F164" s="325"/>
      <c r="G164" s="325">
        <f>SUMIFS(HY!$E269:$AL269,HY!$E$14:$AL$14,FY!G$4)</f>
        <v>0</v>
      </c>
      <c r="H164" s="325">
        <f>SUMIFS(HY!$E269:$AL269,HY!$E$14:$AL$14,FY!H$4)</f>
        <v>48.9</v>
      </c>
      <c r="I164" s="325">
        <f>SUMIFS(HY!$E269:$AL269,HY!$E$14:$AL$14,FY!I$4)</f>
        <v>-0.1</v>
      </c>
      <c r="J164" s="325">
        <f>SUMIFS(HY!$E269:$AL269,HY!$E$14:$AL$14,FY!J$4)</f>
        <v>0</v>
      </c>
      <c r="K164" s="325">
        <f>SUMIFS(HY!$E269:$AL269,HY!$E$14:$AL$14,FY!K$4)</f>
        <v>0</v>
      </c>
      <c r="L164" s="325">
        <f>SUMIFS(HY!$E269:$AL269,HY!$E$14:$AL$14,FY!L$4)</f>
        <v>0</v>
      </c>
      <c r="M164" s="325">
        <f>SUMIFS(HY!$E269:$AL269,HY!$E$14:$AL$14,FY!M$4)</f>
        <v>0</v>
      </c>
      <c r="N164" s="325">
        <f>SUMIFS(HY!$E269:$AL269,HY!$E$14:$AL$14,FY!N$4)</f>
        <v>0</v>
      </c>
      <c r="O164" s="325">
        <f>SUMIFS(HY!$E269:$AL269,HY!$E$14:$AL$14,FY!O$4)</f>
        <v>0</v>
      </c>
      <c r="P164" s="325">
        <f>SUMIFS(HY!$E269:$AL269,HY!$E$14:$AL$14,FY!P$4)</f>
        <v>0</v>
      </c>
      <c r="Q164" s="325">
        <f>SUMIFS(HY!$E269:$AL269,HY!$E$14:$AL$14,FY!Q$4)</f>
        <v>0</v>
      </c>
    </row>
    <row r="165" spans="2:17" x14ac:dyDescent="0.2">
      <c r="B165" s="234" t="s">
        <v>152</v>
      </c>
      <c r="C165" s="205"/>
      <c r="D165" s="234"/>
      <c r="E165" s="325"/>
      <c r="F165" s="325"/>
      <c r="G165" s="325">
        <f>SUMIFS(HY!$E270:$AL270,HY!$E$14:$AL$14,FY!G$4)</f>
        <v>0</v>
      </c>
      <c r="H165" s="325">
        <f>SUMIFS(HY!$E270:$AL270,HY!$E$14:$AL$14,FY!H$4)</f>
        <v>0</v>
      </c>
      <c r="I165" s="325">
        <f>SUMIFS(HY!$E270:$AL270,HY!$E$14:$AL$14,FY!I$4)</f>
        <v>-41.3</v>
      </c>
      <c r="J165" s="325">
        <f>SUMIFS(HY!$E270:$AL270,HY!$E$14:$AL$14,FY!J$4)</f>
        <v>0</v>
      </c>
      <c r="K165" s="325">
        <f>SUMIFS(HY!$E270:$AL270,HY!$E$14:$AL$14,FY!K$4)</f>
        <v>0</v>
      </c>
      <c r="L165" s="325">
        <f>SUMIFS(HY!$E270:$AL270,HY!$E$14:$AL$14,FY!L$4)</f>
        <v>0</v>
      </c>
      <c r="M165" s="325">
        <f>SUMIFS(HY!$E270:$AL270,HY!$E$14:$AL$14,FY!M$4)</f>
        <v>0</v>
      </c>
      <c r="N165" s="325">
        <f>SUMIFS(HY!$E270:$AL270,HY!$E$14:$AL$14,FY!N$4)</f>
        <v>0</v>
      </c>
      <c r="O165" s="325">
        <f>SUMIFS(HY!$E270:$AL270,HY!$E$14:$AL$14,FY!O$4)</f>
        <v>0</v>
      </c>
      <c r="P165" s="325">
        <f>SUMIFS(HY!$E270:$AL270,HY!$E$14:$AL$14,FY!P$4)</f>
        <v>0</v>
      </c>
      <c r="Q165" s="325">
        <f>SUMIFS(HY!$E270:$AL270,HY!$E$14:$AL$14,FY!Q$4)</f>
        <v>0</v>
      </c>
    </row>
    <row r="166" spans="2:17" x14ac:dyDescent="0.2">
      <c r="B166" s="234" t="s">
        <v>153</v>
      </c>
      <c r="C166" s="205"/>
      <c r="D166" s="234"/>
      <c r="E166" s="325"/>
      <c r="F166" s="325"/>
      <c r="G166" s="325">
        <f>SUMIFS(HY!$E271:$AL271,HY!$E$14:$AL$14,FY!G$4)</f>
        <v>19.2</v>
      </c>
      <c r="H166" s="325">
        <f>SUMIFS(HY!$E271:$AL271,HY!$E$14:$AL$14,FY!H$4)</f>
        <v>129.4</v>
      </c>
      <c r="I166" s="325">
        <f>SUMIFS(HY!$E271:$AL271,HY!$E$14:$AL$14,FY!I$4)</f>
        <v>0</v>
      </c>
      <c r="J166" s="325">
        <f>SUMIFS(HY!$E271:$AL271,HY!$E$14:$AL$14,FY!J$4)</f>
        <v>0</v>
      </c>
      <c r="K166" s="325">
        <f>SUMIFS(HY!$E271:$AL271,HY!$E$14:$AL$14,FY!K$4)</f>
        <v>0</v>
      </c>
      <c r="L166" s="325">
        <f>SUMIFS(HY!$E271:$AL271,HY!$E$14:$AL$14,FY!L$4)</f>
        <v>0</v>
      </c>
      <c r="M166" s="325">
        <f>SUMIFS(HY!$E271:$AL271,HY!$E$14:$AL$14,FY!M$4)</f>
        <v>0</v>
      </c>
      <c r="N166" s="325">
        <f>SUMIFS(HY!$E271:$AL271,HY!$E$14:$AL$14,FY!N$4)</f>
        <v>0</v>
      </c>
      <c r="O166" s="325">
        <f>SUMIFS(HY!$E271:$AL271,HY!$E$14:$AL$14,FY!O$4)</f>
        <v>0</v>
      </c>
      <c r="P166" s="325">
        <f>SUMIFS(HY!$E271:$AL271,HY!$E$14:$AL$14,FY!P$4)</f>
        <v>0</v>
      </c>
      <c r="Q166" s="325">
        <f>SUMIFS(HY!$E271:$AL271,HY!$E$14:$AL$14,FY!Q$4)</f>
        <v>0</v>
      </c>
    </row>
    <row r="167" spans="2:17" s="319" customFormat="1" x14ac:dyDescent="0.2">
      <c r="B167" s="234" t="s">
        <v>154</v>
      </c>
      <c r="C167" s="205"/>
      <c r="D167" s="234"/>
      <c r="E167" s="325"/>
      <c r="F167" s="325"/>
      <c r="G167" s="325">
        <f>SUMIFS(HY!$E272:$AL272,HY!$E$14:$AL$14,FY!G$4)</f>
        <v>0</v>
      </c>
      <c r="H167" s="325">
        <f>SUMIFS(HY!$E272:$AL272,HY!$E$14:$AL$14,FY!H$4)</f>
        <v>0</v>
      </c>
      <c r="I167" s="325">
        <f>SUMIFS(HY!$E272:$AL272,HY!$E$14:$AL$14,FY!I$4)</f>
        <v>0</v>
      </c>
      <c r="J167" s="325">
        <f>SUMIFS(HY!$E272:$AL272,HY!$E$14:$AL$14,FY!J$4)</f>
        <v>0</v>
      </c>
      <c r="K167" s="325">
        <f>SUMIFS(HY!$E272:$AL272,HY!$E$14:$AL$14,FY!K$4)</f>
        <v>0</v>
      </c>
      <c r="L167" s="325">
        <f>SUMIFS(HY!$E272:$AL272,HY!$E$14:$AL$14,FY!L$4)</f>
        <v>0</v>
      </c>
      <c r="M167" s="325">
        <f>SUMIFS(HY!$E272:$AL272,HY!$E$14:$AL$14,FY!M$4)</f>
        <v>0</v>
      </c>
      <c r="N167" s="325">
        <f>SUMIFS(HY!$E272:$AL272,HY!$E$14:$AL$14,FY!N$4)</f>
        <v>0</v>
      </c>
      <c r="O167" s="325">
        <f>SUMIFS(HY!$E272:$AL272,HY!$E$14:$AL$14,FY!O$4)</f>
        <v>0</v>
      </c>
      <c r="P167" s="325">
        <f>SUMIFS(HY!$E272:$AL272,HY!$E$14:$AL$14,FY!P$4)</f>
        <v>0</v>
      </c>
      <c r="Q167" s="325">
        <f>SUMIFS(HY!$E272:$AL272,HY!$E$14:$AL$14,FY!Q$4)</f>
        <v>0</v>
      </c>
    </row>
    <row r="168" spans="2:17" s="319" customFormat="1" x14ac:dyDescent="0.2">
      <c r="B168" s="234" t="s">
        <v>155</v>
      </c>
      <c r="C168" s="205"/>
      <c r="D168" s="234"/>
      <c r="E168" s="325"/>
      <c r="F168" s="325"/>
      <c r="G168" s="325">
        <f>SUMIFS(HY!$E273:$AL273,HY!$E$14:$AL$14,FY!G$4)</f>
        <v>-0.5</v>
      </c>
      <c r="H168" s="325">
        <f>SUMIFS(HY!$E273:$AL273,HY!$E$14:$AL$14,FY!H$4)</f>
        <v>-2.4</v>
      </c>
      <c r="I168" s="325">
        <f>SUMIFS(HY!$E273:$AL273,HY!$E$14:$AL$14,FY!I$4)</f>
        <v>-1.2</v>
      </c>
      <c r="J168" s="325">
        <f>SUMIFS(HY!$E273:$AL273,HY!$E$14:$AL$14,FY!J$4)</f>
        <v>0</v>
      </c>
      <c r="K168" s="325">
        <f>SUMIFS(HY!$E273:$AL273,HY!$E$14:$AL$14,FY!K$4)</f>
        <v>0</v>
      </c>
      <c r="L168" s="325">
        <f>SUMIFS(HY!$E273:$AL273,HY!$E$14:$AL$14,FY!L$4)</f>
        <v>0</v>
      </c>
      <c r="M168" s="325">
        <f>SUMIFS(HY!$E273:$AL273,HY!$E$14:$AL$14,FY!M$4)</f>
        <v>0</v>
      </c>
      <c r="N168" s="325">
        <f>SUMIFS(HY!$E273:$AL273,HY!$E$14:$AL$14,FY!N$4)</f>
        <v>0</v>
      </c>
      <c r="O168" s="325">
        <f>SUMIFS(HY!$E273:$AL273,HY!$E$14:$AL$14,FY!O$4)</f>
        <v>0</v>
      </c>
      <c r="P168" s="325">
        <f>SUMIFS(HY!$E273:$AL273,HY!$E$14:$AL$14,FY!P$4)</f>
        <v>0</v>
      </c>
      <c r="Q168" s="325">
        <f>SUMIFS(HY!$E273:$AL273,HY!$E$14:$AL$14,FY!Q$4)</f>
        <v>0</v>
      </c>
    </row>
    <row r="169" spans="2:17" x14ac:dyDescent="0.2">
      <c r="B169" s="234" t="s">
        <v>101</v>
      </c>
      <c r="C169" s="205"/>
      <c r="D169" s="234"/>
      <c r="E169" s="325"/>
      <c r="F169" s="325"/>
      <c r="G169" s="325">
        <f>SUMIFS(HY!$E274:$AL274,HY!$E$14:$AL$14,FY!G$4)</f>
        <v>-0.5</v>
      </c>
      <c r="H169" s="325">
        <f>SUMIFS(HY!$E274:$AL274,HY!$E$14:$AL$14,FY!H$4)</f>
        <v>-6.2</v>
      </c>
      <c r="I169" s="325">
        <f>SUMIFS(HY!$E274:$AL274,HY!$E$14:$AL$14,FY!I$4)</f>
        <v>0</v>
      </c>
      <c r="J169" s="325">
        <f>SUMIFS(HY!$E274:$AL274,HY!$E$14:$AL$14,FY!J$4)</f>
        <v>0</v>
      </c>
      <c r="K169" s="325">
        <f>SUMIFS(HY!$E274:$AL274,HY!$E$14:$AL$14,FY!K$4)</f>
        <v>0</v>
      </c>
      <c r="L169" s="325">
        <f>SUMIFS(HY!$E274:$AL274,HY!$E$14:$AL$14,FY!L$4)</f>
        <v>0</v>
      </c>
      <c r="M169" s="325">
        <f>SUMIFS(HY!$E274:$AL274,HY!$E$14:$AL$14,FY!M$4)</f>
        <v>0</v>
      </c>
      <c r="N169" s="325">
        <f>SUMIFS(HY!$E274:$AL274,HY!$E$14:$AL$14,FY!N$4)</f>
        <v>0</v>
      </c>
      <c r="O169" s="325">
        <f>SUMIFS(HY!$E274:$AL274,HY!$E$14:$AL$14,FY!O$4)</f>
        <v>0</v>
      </c>
      <c r="P169" s="325">
        <f>SUMIFS(HY!$E274:$AL274,HY!$E$14:$AL$14,FY!P$4)</f>
        <v>0</v>
      </c>
      <c r="Q169" s="325">
        <f>SUMIFS(HY!$E274:$AL274,HY!$E$14:$AL$14,FY!Q$4)</f>
        <v>0</v>
      </c>
    </row>
    <row r="170" spans="2:17" x14ac:dyDescent="0.2">
      <c r="B170" s="251" t="s">
        <v>67</v>
      </c>
      <c r="C170" s="260"/>
      <c r="D170" s="251"/>
      <c r="E170" s="254"/>
      <c r="F170" s="254"/>
      <c r="G170" s="254" t="s">
        <v>67</v>
      </c>
      <c r="H170" s="254" t="s">
        <v>67</v>
      </c>
      <c r="I170" s="254" t="s">
        <v>67</v>
      </c>
      <c r="J170" s="254" t="s">
        <v>67</v>
      </c>
      <c r="K170" s="254" t="s">
        <v>67</v>
      </c>
      <c r="L170" s="254" t="s">
        <v>67</v>
      </c>
      <c r="M170" s="254" t="s">
        <v>67</v>
      </c>
      <c r="N170" s="254" t="s">
        <v>67</v>
      </c>
      <c r="O170" s="254" t="s">
        <v>67</v>
      </c>
      <c r="P170" s="254" t="s">
        <v>67</v>
      </c>
      <c r="Q170" s="254" t="s">
        <v>67</v>
      </c>
    </row>
    <row r="171" spans="2:17" x14ac:dyDescent="0.2">
      <c r="B171" s="328" t="s">
        <v>1208</v>
      </c>
      <c r="D171" s="328"/>
      <c r="E171" s="329"/>
      <c r="F171" s="329"/>
      <c r="G171" s="329">
        <f>SUMIFS(HY!$E276:$AL276,HY!$E$14:$AL$14,FY!G$4)</f>
        <v>18.2</v>
      </c>
      <c r="H171" s="329">
        <f>SUMIFS(HY!$E276:$AL276,HY!$E$14:$AL$14,FY!H$4)</f>
        <v>169.70000000000002</v>
      </c>
      <c r="I171" s="329">
        <f>SUMIFS(HY!$E276:$AL276,HY!$E$14:$AL$14,FY!I$4)</f>
        <v>-42.6</v>
      </c>
      <c r="J171" s="329">
        <f>SUMIFS(HY!$E276:$AL276,HY!$E$14:$AL$14,FY!J$4)</f>
        <v>0</v>
      </c>
      <c r="K171" s="329">
        <f>SUMIFS(HY!$E276:$AL276,HY!$E$14:$AL$14,FY!K$4)</f>
        <v>0</v>
      </c>
      <c r="L171" s="329">
        <f>SUMIFS(HY!$E276:$AL276,HY!$E$14:$AL$14,FY!L$4)</f>
        <v>0</v>
      </c>
      <c r="M171" s="329">
        <f>SUMIFS(HY!$E276:$AL276,HY!$E$14:$AL$14,FY!M$4)</f>
        <v>0</v>
      </c>
      <c r="N171" s="329">
        <f>SUMIFS(HY!$E276:$AL276,HY!$E$14:$AL$14,FY!N$4)</f>
        <v>0</v>
      </c>
      <c r="O171" s="329">
        <f>SUMIFS(HY!$E276:$AL276,HY!$E$14:$AL$14,FY!O$4)</f>
        <v>0</v>
      </c>
      <c r="P171" s="329">
        <f>SUMIFS(HY!$E276:$AL276,HY!$E$14:$AL$14,FY!P$4)</f>
        <v>0</v>
      </c>
      <c r="Q171" s="329">
        <f>SUMIFS(HY!$E276:$AL276,HY!$E$14:$AL$14,FY!Q$4)</f>
        <v>0</v>
      </c>
    </row>
    <row r="172" spans="2:17" x14ac:dyDescent="0.2">
      <c r="B172" s="336"/>
      <c r="D172" s="336"/>
      <c r="E172" s="329"/>
      <c r="F172" s="329"/>
      <c r="G172" s="329"/>
      <c r="H172" s="329"/>
      <c r="I172" s="329"/>
      <c r="J172" s="329"/>
      <c r="K172" s="329"/>
      <c r="L172" s="329"/>
      <c r="M172" s="329"/>
      <c r="N172" s="329"/>
      <c r="O172" s="329"/>
      <c r="P172" s="329"/>
      <c r="Q172" s="329"/>
    </row>
    <row r="173" spans="2:17" s="319" customFormat="1" x14ac:dyDescent="0.2">
      <c r="B173" s="263" t="s">
        <v>157</v>
      </c>
      <c r="C173" s="205"/>
      <c r="D173" s="234"/>
      <c r="E173" s="329"/>
      <c r="F173" s="401"/>
      <c r="G173" s="401">
        <v>22.7</v>
      </c>
      <c r="H173" s="329">
        <f t="shared" ref="H173:Q173" si="36">G177</f>
        <v>24.5</v>
      </c>
      <c r="I173" s="329">
        <f t="shared" si="36"/>
        <v>104.9</v>
      </c>
      <c r="J173" s="329">
        <f t="shared" si="36"/>
        <v>27.6</v>
      </c>
      <c r="K173" s="329">
        <f t="shared" si="36"/>
        <v>29.338569229590878</v>
      </c>
      <c r="L173" s="329">
        <f t="shared" si="36"/>
        <v>35.835070516634943</v>
      </c>
      <c r="M173" s="329">
        <f t="shared" si="36"/>
        <v>45.075051409491252</v>
      </c>
      <c r="N173" s="329">
        <f t="shared" si="36"/>
        <v>57.029758684486303</v>
      </c>
      <c r="O173" s="329">
        <f t="shared" si="36"/>
        <v>70.504095236106579</v>
      </c>
      <c r="P173" s="329">
        <f t="shared" si="36"/>
        <v>84.828307149279439</v>
      </c>
      <c r="Q173" s="329">
        <f t="shared" si="36"/>
        <v>100.07804561677837</v>
      </c>
    </row>
    <row r="174" spans="2:17" s="319" customFormat="1" x14ac:dyDescent="0.2">
      <c r="B174" s="263" t="s">
        <v>158</v>
      </c>
      <c r="C174" s="205"/>
      <c r="D174" s="234"/>
      <c r="E174" s="325"/>
      <c r="F174" s="325"/>
      <c r="G174" s="325">
        <f>SUMIFS(HY!$E280:$AL280,HY!$E$14:$AL$14,FY!G$4)</f>
        <v>1.5999999999999979</v>
      </c>
      <c r="H174" s="325">
        <f>SUMIFS(HY!$E280:$AL280,HY!$E$14:$AL$14,FY!H$4)</f>
        <v>80.600000000000009</v>
      </c>
      <c r="I174" s="325">
        <f>SUMIFS(HY!$E280:$AL280,HY!$E$14:$AL$14,FY!I$4)</f>
        <v>-77.3</v>
      </c>
      <c r="J174" s="325">
        <f>SUMIFS(HY!$E280:$AL280,HY!$E$14:$AL$14,FY!J$4)</f>
        <v>1.7385692295908779</v>
      </c>
      <c r="K174" s="325">
        <f>SUMIFS(HY!$E280:$AL280,HY!$E$14:$AL$14,FY!K$4)</f>
        <v>6.4965012870440617</v>
      </c>
      <c r="L174" s="325">
        <f>SUMIFS(HY!$E280:$AL280,HY!$E$14:$AL$14,FY!L$4)</f>
        <v>9.2399808928563143</v>
      </c>
      <c r="M174" s="325">
        <f>SUMIFS(HY!$E280:$AL280,HY!$E$14:$AL$14,FY!M$4)</f>
        <v>11.954707274995055</v>
      </c>
      <c r="N174" s="325">
        <f>SUMIFS(HY!$E280:$AL280,HY!$E$14:$AL$14,FY!N$4)</f>
        <v>13.474336551620272</v>
      </c>
      <c r="O174" s="325">
        <f>SUMIFS(HY!$E280:$AL280,HY!$E$14:$AL$14,FY!O$4)</f>
        <v>14.324211913172849</v>
      </c>
      <c r="P174" s="325">
        <f>SUMIFS(HY!$E280:$AL280,HY!$E$14:$AL$14,FY!P$4)</f>
        <v>15.249738467498933</v>
      </c>
      <c r="Q174" s="325">
        <f>SUMIFS(HY!$E280:$AL280,HY!$E$14:$AL$14,FY!Q$4)</f>
        <v>16.238028997339349</v>
      </c>
    </row>
    <row r="175" spans="2:17" x14ac:dyDescent="0.2">
      <c r="B175" s="263" t="s">
        <v>88</v>
      </c>
      <c r="C175" s="205"/>
      <c r="D175" s="234"/>
      <c r="E175" s="325"/>
      <c r="F175" s="325"/>
      <c r="G175" s="325">
        <f>SUMIFS(HY!$E281:$AL281,HY!$E$14:$AL$14,FY!G$4)</f>
        <v>0.20000000000000004</v>
      </c>
      <c r="H175" s="325">
        <f>SUMIFS(HY!$E281:$AL281,HY!$E$14:$AL$14,FY!H$4)</f>
        <v>-9.9999999999999978E-2</v>
      </c>
      <c r="I175" s="325">
        <f>SUMIFS(HY!$E281:$AL281,HY!$E$14:$AL$14,FY!I$4)</f>
        <v>0</v>
      </c>
      <c r="J175" s="325">
        <f>SUMIFS(HY!$E281:$AL281,HY!$E$14:$AL$14,FY!J$4)</f>
        <v>0</v>
      </c>
      <c r="K175" s="325">
        <f>SUMIFS(HY!$E281:$AL281,HY!$E$14:$AL$14,FY!K$4)</f>
        <v>0</v>
      </c>
      <c r="L175" s="325">
        <f>SUMIFS(HY!$E281:$AL281,HY!$E$14:$AL$14,FY!L$4)</f>
        <v>0</v>
      </c>
      <c r="M175" s="325">
        <f>SUMIFS(HY!$E281:$AL281,HY!$E$14:$AL$14,FY!M$4)</f>
        <v>0</v>
      </c>
      <c r="N175" s="325">
        <f>SUMIFS(HY!$E281:$AL281,HY!$E$14:$AL$14,FY!N$4)</f>
        <v>0</v>
      </c>
      <c r="O175" s="325">
        <f>SUMIFS(HY!$E281:$AL281,HY!$E$14:$AL$14,FY!O$4)</f>
        <v>0</v>
      </c>
      <c r="P175" s="325">
        <f>SUMIFS(HY!$E281:$AL281,HY!$E$14:$AL$14,FY!P$4)</f>
        <v>0</v>
      </c>
      <c r="Q175" s="325">
        <f>SUMIFS(HY!$E281:$AL281,HY!$E$14:$AL$14,FY!Q$4)</f>
        <v>0</v>
      </c>
    </row>
    <row r="176" spans="2:17" x14ac:dyDescent="0.2">
      <c r="B176" s="270" t="s">
        <v>67</v>
      </c>
      <c r="C176" s="260"/>
      <c r="D176" s="251"/>
      <c r="E176" s="254"/>
      <c r="F176" s="254"/>
      <c r="G176" s="254" t="s">
        <v>67</v>
      </c>
      <c r="H176" s="254" t="s">
        <v>67</v>
      </c>
      <c r="I176" s="254" t="s">
        <v>67</v>
      </c>
      <c r="J176" s="254" t="s">
        <v>67</v>
      </c>
      <c r="K176" s="254" t="s">
        <v>67</v>
      </c>
      <c r="L176" s="254" t="s">
        <v>67</v>
      </c>
      <c r="M176" s="254" t="s">
        <v>67</v>
      </c>
      <c r="N176" s="254" t="s">
        <v>67</v>
      </c>
      <c r="O176" s="254" t="s">
        <v>67</v>
      </c>
      <c r="P176" s="254" t="s">
        <v>67</v>
      </c>
      <c r="Q176" s="254" t="s">
        <v>67</v>
      </c>
    </row>
    <row r="177" spans="1:17" s="319" customFormat="1" x14ac:dyDescent="0.2">
      <c r="B177" s="330" t="s">
        <v>1209</v>
      </c>
      <c r="C177" s="317"/>
      <c r="D177" s="328"/>
      <c r="E177" s="329"/>
      <c r="F177" s="329"/>
      <c r="G177" s="329">
        <f>INDEX(HY!$E283:$AL283,MATCH(G$7,HY!$E$8:$AL$8,0))</f>
        <v>24.5</v>
      </c>
      <c r="H177" s="329">
        <f>INDEX(HY!$E283:$AL283,MATCH(H$7,HY!$E$8:$AL$8,0))</f>
        <v>104.9</v>
      </c>
      <c r="I177" s="329">
        <f>INDEX(HY!$E283:$AL283,MATCH(I$7,HY!$E$8:$AL$8,0))</f>
        <v>27.6</v>
      </c>
      <c r="J177" s="329">
        <f>INDEX(HY!$E283:$AL283,MATCH(J$7,HY!$E$8:$AL$8,0))</f>
        <v>29.338569229590878</v>
      </c>
      <c r="K177" s="329">
        <f>INDEX(HY!$E283:$AL283,MATCH(K$7,HY!$E$8:$AL$8,0))</f>
        <v>35.835070516634943</v>
      </c>
      <c r="L177" s="329">
        <f>INDEX(HY!$E283:$AL283,MATCH(L$7,HY!$E$8:$AL$8,0))</f>
        <v>45.075051409491252</v>
      </c>
      <c r="M177" s="329">
        <f>INDEX(HY!$E283:$AL283,MATCH(M$7,HY!$E$8:$AL$8,0))</f>
        <v>57.029758684486303</v>
      </c>
      <c r="N177" s="329">
        <f>INDEX(HY!$E283:$AL283,MATCH(N$7,HY!$E$8:$AL$8,0))</f>
        <v>70.504095236106579</v>
      </c>
      <c r="O177" s="329">
        <f>INDEX(HY!$E283:$AL283,MATCH(O$7,HY!$E$8:$AL$8,0))</f>
        <v>84.828307149279439</v>
      </c>
      <c r="P177" s="329">
        <f>INDEX(HY!$E283:$AL283,MATCH(P$7,HY!$E$8:$AL$8,0))</f>
        <v>100.07804561677837</v>
      </c>
      <c r="Q177" s="329">
        <f>INDEX(HY!$E283:$AL283,MATCH(Q$7,HY!$E$8:$AL$8,0))</f>
        <v>116.31607461411772</v>
      </c>
    </row>
    <row r="178" spans="1:17" s="319" customFormat="1" x14ac:dyDescent="0.2">
      <c r="B178" s="328"/>
      <c r="C178" s="317"/>
      <c r="D178" s="328"/>
      <c r="E178" s="329"/>
      <c r="F178" s="325"/>
      <c r="G178" s="329"/>
      <c r="H178" s="329"/>
      <c r="I178" s="329"/>
      <c r="J178" s="329"/>
      <c r="K178" s="329"/>
      <c r="L178" s="329"/>
      <c r="M178" s="329"/>
      <c r="N178" s="329"/>
      <c r="O178" s="329"/>
      <c r="P178" s="329"/>
      <c r="Q178" s="329"/>
    </row>
    <row r="179" spans="1:17" x14ac:dyDescent="0.2">
      <c r="F179" s="316"/>
    </row>
    <row r="180" spans="1:17" x14ac:dyDescent="0.2">
      <c r="B180" s="319" t="s">
        <v>1202</v>
      </c>
      <c r="D180" s="319"/>
    </row>
    <row r="181" spans="1:17" x14ac:dyDescent="0.2">
      <c r="B181" s="334" t="s">
        <v>1206</v>
      </c>
      <c r="D181" s="334"/>
      <c r="F181" s="335"/>
      <c r="G181" s="335"/>
      <c r="H181" s="335">
        <f t="shared" ref="H181:Q181" si="37">H152/G152-1</f>
        <v>0.45112781954887216</v>
      </c>
      <c r="I181" s="335">
        <f t="shared" si="37"/>
        <v>0.33160621761658016</v>
      </c>
      <c r="J181" s="335">
        <f t="shared" si="37"/>
        <v>-1.4575970990611413</v>
      </c>
      <c r="K181" s="335">
        <f t="shared" si="37"/>
        <v>0.44718589356597893</v>
      </c>
      <c r="L181" s="335">
        <f t="shared" si="37"/>
        <v>0.19211278015049804</v>
      </c>
      <c r="M181" s="335">
        <f t="shared" si="37"/>
        <v>0.11224248006740112</v>
      </c>
      <c r="N181" s="335">
        <f t="shared" si="37"/>
        <v>9.0852949658667859E-2</v>
      </c>
      <c r="O181" s="335">
        <f t="shared" si="37"/>
        <v>5.715615845767652E-2</v>
      </c>
      <c r="P181" s="335">
        <f t="shared" si="37"/>
        <v>5.8043396135311953E-2</v>
      </c>
      <c r="Q181" s="335">
        <f t="shared" si="37"/>
        <v>5.8200956537090676E-2</v>
      </c>
    </row>
    <row r="182" spans="1:17" x14ac:dyDescent="0.2">
      <c r="B182" s="334" t="s">
        <v>1207</v>
      </c>
      <c r="D182" s="334"/>
      <c r="F182" s="335"/>
      <c r="G182" s="335"/>
      <c r="H182" s="335">
        <f t="shared" ref="H182:Q182" si="38">H161/G161-1</f>
        <v>20.151515151515152</v>
      </c>
      <c r="I182" s="335">
        <f t="shared" si="38"/>
        <v>-0.87106017191977081</v>
      </c>
      <c r="J182" s="335">
        <f t="shared" si="38"/>
        <v>0.11351957958671677</v>
      </c>
      <c r="K182" s="335">
        <f t="shared" si="38"/>
        <v>5.0000000000000044E-2</v>
      </c>
      <c r="L182" s="335">
        <f t="shared" si="38"/>
        <v>5.0000000000000044E-2</v>
      </c>
      <c r="M182" s="335">
        <f t="shared" si="38"/>
        <v>-3.9592391304347441E-2</v>
      </c>
      <c r="N182" s="335">
        <f t="shared" si="38"/>
        <v>4.9999999999999822E-2</v>
      </c>
      <c r="O182" s="335">
        <f t="shared" si="38"/>
        <v>5.0000000000000266E-2</v>
      </c>
      <c r="P182" s="335">
        <f t="shared" si="38"/>
        <v>4.9999999999999822E-2</v>
      </c>
      <c r="Q182" s="335">
        <f t="shared" si="38"/>
        <v>4.9999999999999822E-2</v>
      </c>
    </row>
    <row r="183" spans="1:17" s="319" customFormat="1" x14ac:dyDescent="0.2">
      <c r="B183" s="334" t="s">
        <v>1208</v>
      </c>
      <c r="C183" s="317"/>
      <c r="D183" s="334"/>
      <c r="F183" s="335"/>
      <c r="G183" s="335"/>
      <c r="H183" s="335">
        <f t="shared" ref="H183:Q183" si="39">H171/G171-1</f>
        <v>8.3241758241758248</v>
      </c>
      <c r="I183" s="335">
        <f t="shared" si="39"/>
        <v>-1.2510312315851502</v>
      </c>
      <c r="J183" s="335">
        <f t="shared" si="39"/>
        <v>-1</v>
      </c>
      <c r="K183" s="335" t="e">
        <f t="shared" si="39"/>
        <v>#DIV/0!</v>
      </c>
      <c r="L183" s="335" t="e">
        <f t="shared" si="39"/>
        <v>#DIV/0!</v>
      </c>
      <c r="M183" s="335" t="e">
        <f t="shared" si="39"/>
        <v>#DIV/0!</v>
      </c>
      <c r="N183" s="335" t="e">
        <f t="shared" si="39"/>
        <v>#DIV/0!</v>
      </c>
      <c r="O183" s="335" t="e">
        <f t="shared" si="39"/>
        <v>#DIV/0!</v>
      </c>
      <c r="P183" s="335" t="e">
        <f t="shared" si="39"/>
        <v>#DIV/0!</v>
      </c>
      <c r="Q183" s="335" t="e">
        <f t="shared" si="39"/>
        <v>#DIV/0!</v>
      </c>
    </row>
    <row r="184" spans="1:17" s="319" customFormat="1" x14ac:dyDescent="0.2">
      <c r="A184" s="327"/>
      <c r="B184" s="334" t="s">
        <v>1210</v>
      </c>
      <c r="C184" s="317"/>
      <c r="D184" s="334"/>
      <c r="E184" s="343"/>
      <c r="F184" s="335"/>
      <c r="G184" s="335"/>
      <c r="H184" s="335">
        <f t="shared" ref="H184:Q184" si="40">H174/G174-1</f>
        <v>49.375000000000071</v>
      </c>
      <c r="I184" s="335">
        <f t="shared" si="40"/>
        <v>-1.9590570719602978</v>
      </c>
      <c r="J184" s="335">
        <f t="shared" si="40"/>
        <v>-1.0224911931383038</v>
      </c>
      <c r="K184" s="335">
        <f t="shared" si="40"/>
        <v>2.7366940450066668</v>
      </c>
      <c r="L184" s="335">
        <f t="shared" si="40"/>
        <v>0.42230109478829148</v>
      </c>
      <c r="M184" s="335">
        <f t="shared" si="40"/>
        <v>0.29380216405399406</v>
      </c>
      <c r="N184" s="335">
        <f t="shared" si="40"/>
        <v>0.12711555721684076</v>
      </c>
      <c r="O184" s="335">
        <f t="shared" si="40"/>
        <v>6.307363322095294E-2</v>
      </c>
      <c r="P184" s="335">
        <f t="shared" si="40"/>
        <v>6.4612738204113729E-2</v>
      </c>
      <c r="Q184" s="335">
        <f t="shared" si="40"/>
        <v>6.4807047802604156E-2</v>
      </c>
    </row>
    <row r="185" spans="1:17" s="319" customFormat="1" x14ac:dyDescent="0.2">
      <c r="A185" s="327"/>
      <c r="B185" s="334" t="s">
        <v>1209</v>
      </c>
      <c r="C185" s="317"/>
      <c r="D185" s="334"/>
      <c r="E185" s="343"/>
      <c r="F185" s="335"/>
      <c r="G185" s="335"/>
      <c r="H185" s="335">
        <f t="shared" ref="H185:Q185" si="41">H177/G177-1</f>
        <v>3.2816326530612248</v>
      </c>
      <c r="I185" s="335">
        <f t="shared" si="41"/>
        <v>-0.73689227836034321</v>
      </c>
      <c r="J185" s="335">
        <f t="shared" si="41"/>
        <v>6.29916387532925E-2</v>
      </c>
      <c r="K185" s="335">
        <f t="shared" si="41"/>
        <v>0.22143210993710261</v>
      </c>
      <c r="L185" s="335">
        <f t="shared" si="41"/>
        <v>0.25784743157033918</v>
      </c>
      <c r="M185" s="335">
        <f t="shared" si="41"/>
        <v>0.26521782895798984</v>
      </c>
      <c r="N185" s="335">
        <f t="shared" si="41"/>
        <v>0.2362685177429249</v>
      </c>
      <c r="O185" s="335">
        <f t="shared" si="41"/>
        <v>0.20316850908026596</v>
      </c>
      <c r="P185" s="335">
        <f t="shared" si="41"/>
        <v>0.17977181179229107</v>
      </c>
      <c r="Q185" s="335">
        <f t="shared" si="41"/>
        <v>0.16225365810517989</v>
      </c>
    </row>
    <row r="186" spans="1:17" s="319" customFormat="1" x14ac:dyDescent="0.2">
      <c r="A186" s="327"/>
      <c r="B186" s="337"/>
      <c r="C186" s="317"/>
      <c r="D186" s="337"/>
      <c r="E186" s="343"/>
      <c r="F186" s="343"/>
      <c r="G186" s="343"/>
      <c r="H186" s="343"/>
      <c r="I186" s="343"/>
      <c r="J186" s="343"/>
      <c r="K186" s="343"/>
      <c r="L186" s="343"/>
      <c r="M186" s="343"/>
    </row>
    <row r="187" spans="1:17" x14ac:dyDescent="0.2">
      <c r="B187" s="344" t="s">
        <v>1211</v>
      </c>
      <c r="C187" s="339"/>
      <c r="D187" s="344"/>
      <c r="E187" s="340"/>
      <c r="F187" s="340">
        <f t="shared" ref="F187:Q187" si="42">F152-SUM(F146:F151)</f>
        <v>0</v>
      </c>
      <c r="G187" s="340">
        <f t="shared" si="42"/>
        <v>0</v>
      </c>
      <c r="H187" s="340">
        <f t="shared" si="42"/>
        <v>0</v>
      </c>
      <c r="I187" s="340">
        <f t="shared" si="42"/>
        <v>0</v>
      </c>
      <c r="J187" s="340">
        <f t="shared" si="42"/>
        <v>0</v>
      </c>
      <c r="K187" s="340">
        <f t="shared" si="42"/>
        <v>0</v>
      </c>
      <c r="L187" s="340">
        <f t="shared" si="42"/>
        <v>0</v>
      </c>
      <c r="M187" s="340">
        <f t="shared" si="42"/>
        <v>0</v>
      </c>
      <c r="N187" s="340">
        <f t="shared" si="42"/>
        <v>0</v>
      </c>
      <c r="O187" s="340">
        <f t="shared" si="42"/>
        <v>0</v>
      </c>
      <c r="P187" s="340">
        <f t="shared" si="42"/>
        <v>0</v>
      </c>
      <c r="Q187" s="340">
        <f t="shared" si="42"/>
        <v>0</v>
      </c>
    </row>
    <row r="188" spans="1:17" x14ac:dyDescent="0.2">
      <c r="B188" s="344" t="s">
        <v>1212</v>
      </c>
      <c r="C188" s="339"/>
      <c r="D188" s="344"/>
      <c r="E188" s="340"/>
      <c r="F188" s="340">
        <f t="shared" ref="F188:Q188" si="43">F161-SUM(F154:F160)</f>
        <v>0</v>
      </c>
      <c r="G188" s="340">
        <f t="shared" si="43"/>
        <v>0</v>
      </c>
      <c r="H188" s="340">
        <f t="shared" si="43"/>
        <v>0</v>
      </c>
      <c r="I188" s="340">
        <f t="shared" si="43"/>
        <v>0</v>
      </c>
      <c r="J188" s="340">
        <f t="shared" si="43"/>
        <v>0</v>
      </c>
      <c r="K188" s="340">
        <f t="shared" si="43"/>
        <v>0</v>
      </c>
      <c r="L188" s="340">
        <f t="shared" si="43"/>
        <v>0</v>
      </c>
      <c r="M188" s="340">
        <f t="shared" si="43"/>
        <v>0</v>
      </c>
      <c r="N188" s="340">
        <f t="shared" si="43"/>
        <v>0</v>
      </c>
      <c r="O188" s="340">
        <f t="shared" si="43"/>
        <v>0</v>
      </c>
      <c r="P188" s="340">
        <f t="shared" si="43"/>
        <v>0</v>
      </c>
      <c r="Q188" s="340">
        <f t="shared" si="43"/>
        <v>0</v>
      </c>
    </row>
    <row r="189" spans="1:17" x14ac:dyDescent="0.2">
      <c r="B189" s="344" t="s">
        <v>1213</v>
      </c>
      <c r="C189" s="339"/>
      <c r="D189" s="344"/>
      <c r="E189" s="340"/>
      <c r="F189" s="340">
        <f t="shared" ref="F189:Q189" si="44">F171-SUM(F163:F170)</f>
        <v>0</v>
      </c>
      <c r="G189" s="340">
        <f t="shared" si="44"/>
        <v>0</v>
      </c>
      <c r="H189" s="340">
        <f t="shared" si="44"/>
        <v>0</v>
      </c>
      <c r="I189" s="340">
        <f t="shared" si="44"/>
        <v>0</v>
      </c>
      <c r="J189" s="340">
        <f t="shared" si="44"/>
        <v>0</v>
      </c>
      <c r="K189" s="340">
        <f t="shared" si="44"/>
        <v>0</v>
      </c>
      <c r="L189" s="340">
        <f t="shared" si="44"/>
        <v>0</v>
      </c>
      <c r="M189" s="340">
        <f t="shared" si="44"/>
        <v>0</v>
      </c>
      <c r="N189" s="340">
        <f t="shared" si="44"/>
        <v>0</v>
      </c>
      <c r="O189" s="340">
        <f t="shared" si="44"/>
        <v>0</v>
      </c>
      <c r="P189" s="340">
        <f t="shared" si="44"/>
        <v>0</v>
      </c>
      <c r="Q189" s="340">
        <f t="shared" si="44"/>
        <v>0</v>
      </c>
    </row>
    <row r="190" spans="1:17" x14ac:dyDescent="0.2">
      <c r="B190" s="344" t="s">
        <v>240</v>
      </c>
      <c r="C190" s="339"/>
      <c r="D190" s="344"/>
      <c r="E190" s="340"/>
      <c r="F190" s="269">
        <f t="shared" ref="F190:Q190" si="45">F177-SUM(F173:F176)</f>
        <v>0</v>
      </c>
      <c r="G190" s="269">
        <f t="shared" si="45"/>
        <v>0</v>
      </c>
      <c r="H190" s="269">
        <f t="shared" si="45"/>
        <v>-0.10000000000000853</v>
      </c>
      <c r="I190" s="269">
        <f t="shared" si="45"/>
        <v>0</v>
      </c>
      <c r="J190" s="269">
        <f t="shared" si="45"/>
        <v>0</v>
      </c>
      <c r="K190" s="269">
        <f t="shared" si="45"/>
        <v>0</v>
      </c>
      <c r="L190" s="269">
        <f t="shared" si="45"/>
        <v>0</v>
      </c>
      <c r="M190" s="269">
        <f t="shared" si="45"/>
        <v>0</v>
      </c>
      <c r="N190" s="269">
        <f t="shared" si="45"/>
        <v>0</v>
      </c>
      <c r="O190" s="269">
        <f t="shared" si="45"/>
        <v>0</v>
      </c>
      <c r="P190" s="269">
        <f t="shared" si="45"/>
        <v>0</v>
      </c>
      <c r="Q190" s="269">
        <f t="shared" si="45"/>
        <v>0</v>
      </c>
    </row>
    <row r="191" spans="1:17" x14ac:dyDescent="0.2">
      <c r="B191" s="344" t="s">
        <v>1214</v>
      </c>
      <c r="C191" s="339"/>
      <c r="D191" s="344"/>
      <c r="E191" s="340"/>
      <c r="F191" s="269">
        <f t="shared" ref="F191:Q191" si="46">F174-(F152+F161+F171)</f>
        <v>0</v>
      </c>
      <c r="G191" s="269">
        <f t="shared" si="46"/>
        <v>0</v>
      </c>
      <c r="H191" s="269">
        <f t="shared" si="46"/>
        <v>0</v>
      </c>
      <c r="I191" s="269">
        <f t="shared" si="46"/>
        <v>0</v>
      </c>
      <c r="J191" s="269">
        <f t="shared" si="46"/>
        <v>-1.7763568394002505E-15</v>
      </c>
      <c r="K191" s="269">
        <f t="shared" si="46"/>
        <v>0</v>
      </c>
      <c r="L191" s="269">
        <f t="shared" si="46"/>
        <v>0</v>
      </c>
      <c r="M191" s="269">
        <f t="shared" si="46"/>
        <v>0</v>
      </c>
      <c r="N191" s="269">
        <f t="shared" si="46"/>
        <v>0</v>
      </c>
      <c r="O191" s="269">
        <f t="shared" si="46"/>
        <v>0</v>
      </c>
      <c r="P191" s="269">
        <f t="shared" si="46"/>
        <v>0</v>
      </c>
      <c r="Q191" s="269">
        <f t="shared" si="46"/>
        <v>0</v>
      </c>
    </row>
    <row r="192" spans="1:17" x14ac:dyDescent="0.2">
      <c r="E192" s="325"/>
      <c r="F192" s="325"/>
      <c r="G192" s="325"/>
      <c r="H192" s="325"/>
      <c r="I192" s="322"/>
      <c r="J192" s="322"/>
      <c r="K192" s="322"/>
      <c r="L192" s="322"/>
      <c r="M192" s="322"/>
      <c r="N192" s="322"/>
      <c r="O192" s="322"/>
      <c r="P192" s="322"/>
      <c r="Q192" s="322"/>
    </row>
    <row r="193" spans="1:17" s="503" customFormat="1" x14ac:dyDescent="0.2">
      <c r="A193" s="504" t="s">
        <v>7</v>
      </c>
      <c r="B193" s="500" t="s">
        <v>161</v>
      </c>
      <c r="C193" s="501"/>
      <c r="D193" s="500"/>
      <c r="E193" s="502"/>
      <c r="F193" s="502"/>
      <c r="G193" s="502"/>
      <c r="H193" s="502"/>
      <c r="I193" s="502"/>
      <c r="J193" s="502"/>
      <c r="K193" s="502"/>
      <c r="L193" s="502"/>
      <c r="M193" s="502"/>
      <c r="N193" s="502"/>
      <c r="O193" s="502"/>
      <c r="P193" s="502"/>
      <c r="Q193" s="502"/>
    </row>
    <row r="194" spans="1:17" x14ac:dyDescent="0.2">
      <c r="B194" s="341" t="s">
        <v>162</v>
      </c>
      <c r="D194" s="341"/>
      <c r="E194" s="325"/>
      <c r="F194" s="325"/>
      <c r="G194" s="325">
        <f>INDEX(HY!289:289,MATCH(G$7,HY!$8:$8,0))</f>
        <v>24.5</v>
      </c>
      <c r="H194" s="325">
        <f>INDEX(HY!289:289,MATCH(H$7,HY!$8:$8,0))</f>
        <v>104.9</v>
      </c>
      <c r="I194" s="325">
        <f>INDEX(HY!289:289,MATCH(I$7,HY!$8:$8,0))</f>
        <v>27.6</v>
      </c>
      <c r="J194" s="325">
        <f>INDEX(HY!289:289,MATCH(J$7,HY!$8:$8,0))</f>
        <v>29.338569229590878</v>
      </c>
      <c r="K194" s="325">
        <f>INDEX(HY!289:289,MATCH(K$7,HY!$8:$8,0))</f>
        <v>35.835070516634943</v>
      </c>
      <c r="L194" s="325">
        <f>INDEX(HY!289:289,MATCH(L$7,HY!$8:$8,0))</f>
        <v>45.075051409491252</v>
      </c>
      <c r="M194" s="325">
        <f>INDEX(HY!289:289,MATCH(M$7,HY!$8:$8,0))</f>
        <v>57.029758684486303</v>
      </c>
      <c r="N194" s="325">
        <f>INDEX(HY!289:289,MATCH(N$7,HY!$8:$8,0))</f>
        <v>70.504095236106579</v>
      </c>
      <c r="O194" s="325">
        <f>INDEX(HY!289:289,MATCH(O$7,HY!$8:$8,0))</f>
        <v>84.828307149279439</v>
      </c>
      <c r="P194" s="325">
        <f>INDEX(HY!289:289,MATCH(P$7,HY!$8:$8,0))</f>
        <v>100.07804561677837</v>
      </c>
      <c r="Q194" s="325">
        <f>INDEX(HY!289:289,MATCH(Q$7,HY!$8:$8,0))</f>
        <v>116.31607461411772</v>
      </c>
    </row>
    <row r="195" spans="1:17" x14ac:dyDescent="0.2">
      <c r="B195" s="341" t="s">
        <v>163</v>
      </c>
      <c r="D195" s="341"/>
      <c r="E195" s="325"/>
      <c r="F195" s="325"/>
      <c r="G195" s="325">
        <f>INDEX(HY!290:290,MATCH(G$7,HY!$8:$8,0))</f>
        <v>1</v>
      </c>
      <c r="H195" s="325">
        <f>INDEX(HY!290:290,MATCH(H$7,HY!$8:$8,0))</f>
        <v>1.3</v>
      </c>
      <c r="I195" s="325">
        <f>INDEX(HY!290:290,MATCH(I$7,HY!$8:$8,0))</f>
        <v>1.1000000000000001</v>
      </c>
      <c r="J195" s="325">
        <f>INDEX(HY!290:290,MATCH(J$7,HY!$8:$8,0))</f>
        <v>1.1892313202614384</v>
      </c>
      <c r="K195" s="325">
        <f>INDEX(HY!290:290,MATCH(K$7,HY!$8:$8,0))</f>
        <v>1.2486928862745101</v>
      </c>
      <c r="L195" s="325">
        <f>INDEX(HY!290:290,MATCH(L$7,HY!$8:$8,0))</f>
        <v>1.3111275305882357</v>
      </c>
      <c r="M195" s="325">
        <f>INDEX(HY!290:290,MATCH(M$7,HY!$8:$8,0))</f>
        <v>1.3766839071176478</v>
      </c>
      <c r="N195" s="325">
        <f>INDEX(HY!290:290,MATCH(N$7,HY!$8:$8,0))</f>
        <v>1.4455181024735302</v>
      </c>
      <c r="O195" s="325">
        <f>INDEX(HY!290:290,MATCH(O$7,HY!$8:$8,0))</f>
        <v>1.517794007597207</v>
      </c>
      <c r="P195" s="325">
        <f>INDEX(HY!290:290,MATCH(P$7,HY!$8:$8,0))</f>
        <v>1.5936837079770674</v>
      </c>
      <c r="Q195" s="325">
        <f>INDEX(HY!290:290,MATCH(Q$7,HY!$8:$8,0))</f>
        <v>1.6733678933759208</v>
      </c>
    </row>
    <row r="196" spans="1:17" x14ac:dyDescent="0.2">
      <c r="B196" s="341" t="s">
        <v>164</v>
      </c>
      <c r="D196" s="341"/>
      <c r="E196" s="325"/>
      <c r="F196" s="325"/>
      <c r="G196" s="325">
        <f>INDEX(HY!291:291,MATCH(G$7,HY!$8:$8,0))</f>
        <v>0</v>
      </c>
      <c r="H196" s="325">
        <f>INDEX(HY!291:291,MATCH(H$7,HY!$8:$8,0))</f>
        <v>0</v>
      </c>
      <c r="I196" s="325">
        <f>INDEX(HY!291:291,MATCH(I$7,HY!$8:$8,0))</f>
        <v>0</v>
      </c>
      <c r="J196" s="325">
        <f>INDEX(HY!291:291,MATCH(J$7,HY!$8:$8,0))</f>
        <v>0</v>
      </c>
      <c r="K196" s="325">
        <f>INDEX(HY!291:291,MATCH(K$7,HY!$8:$8,0))</f>
        <v>0</v>
      </c>
      <c r="L196" s="325">
        <f>INDEX(HY!291:291,MATCH(L$7,HY!$8:$8,0))</f>
        <v>0</v>
      </c>
      <c r="M196" s="325">
        <f>INDEX(HY!291:291,MATCH(M$7,HY!$8:$8,0))</f>
        <v>0</v>
      </c>
      <c r="N196" s="325">
        <f>INDEX(HY!291:291,MATCH(N$7,HY!$8:$8,0))</f>
        <v>0</v>
      </c>
      <c r="O196" s="325">
        <f>INDEX(HY!291:291,MATCH(O$7,HY!$8:$8,0))</f>
        <v>0</v>
      </c>
      <c r="P196" s="325">
        <f>INDEX(HY!291:291,MATCH(P$7,HY!$8:$8,0))</f>
        <v>0</v>
      </c>
      <c r="Q196" s="325">
        <f>INDEX(HY!291:291,MATCH(Q$7,HY!$8:$8,0))</f>
        <v>0</v>
      </c>
    </row>
    <row r="197" spans="1:17" x14ac:dyDescent="0.2">
      <c r="B197" s="341" t="s">
        <v>165</v>
      </c>
      <c r="D197" s="341"/>
      <c r="E197" s="325"/>
      <c r="F197" s="325"/>
      <c r="G197" s="325">
        <f>INDEX(HY!292:292,MATCH(G$7,HY!$8:$8,0))</f>
        <v>1.5</v>
      </c>
      <c r="H197" s="325">
        <f>INDEX(HY!292:292,MATCH(H$7,HY!$8:$8,0))</f>
        <v>2.2999999999999998</v>
      </c>
      <c r="I197" s="325">
        <f>INDEX(HY!292:292,MATCH(I$7,HY!$8:$8,0))</f>
        <v>2.4</v>
      </c>
      <c r="J197" s="325">
        <f>INDEX(HY!292:292,MATCH(J$7,HY!$8:$8,0))</f>
        <v>2.4</v>
      </c>
      <c r="K197" s="325">
        <f>INDEX(HY!292:292,MATCH(K$7,HY!$8:$8,0))</f>
        <v>2.4</v>
      </c>
      <c r="L197" s="325">
        <f>INDEX(HY!292:292,MATCH(L$7,HY!$8:$8,0))</f>
        <v>2.4</v>
      </c>
      <c r="M197" s="325">
        <f>INDEX(HY!292:292,MATCH(M$7,HY!$8:$8,0))</f>
        <v>2.4</v>
      </c>
      <c r="N197" s="325">
        <f>INDEX(HY!292:292,MATCH(N$7,HY!$8:$8,0))</f>
        <v>2.4</v>
      </c>
      <c r="O197" s="325">
        <f>INDEX(HY!292:292,MATCH(O$7,HY!$8:$8,0))</f>
        <v>2.4</v>
      </c>
      <c r="P197" s="325">
        <f>INDEX(HY!292:292,MATCH(P$7,HY!$8:$8,0))</f>
        <v>2.4</v>
      </c>
      <c r="Q197" s="325">
        <f>INDEX(HY!292:292,MATCH(Q$7,HY!$8:$8,0))</f>
        <v>2.4</v>
      </c>
    </row>
    <row r="198" spans="1:17" x14ac:dyDescent="0.2">
      <c r="B198" s="270" t="s">
        <v>67</v>
      </c>
      <c r="C198" s="260"/>
      <c r="D198" s="270"/>
      <c r="E198" s="254"/>
      <c r="F198" s="254"/>
      <c r="G198" s="254" t="s">
        <v>67</v>
      </c>
      <c r="H198" s="254" t="s">
        <v>67</v>
      </c>
      <c r="I198" s="254" t="s">
        <v>67</v>
      </c>
      <c r="J198" s="254" t="s">
        <v>67</v>
      </c>
      <c r="K198" s="254" t="s">
        <v>67</v>
      </c>
      <c r="L198" s="254" t="s">
        <v>67</v>
      </c>
      <c r="M198" s="254" t="s">
        <v>67</v>
      </c>
      <c r="N198" s="254" t="s">
        <v>67</v>
      </c>
      <c r="O198" s="254" t="s">
        <v>67</v>
      </c>
      <c r="P198" s="254" t="s">
        <v>67</v>
      </c>
      <c r="Q198" s="254" t="s">
        <v>67</v>
      </c>
    </row>
    <row r="199" spans="1:17" s="319" customFormat="1" x14ac:dyDescent="0.2">
      <c r="B199" s="330" t="s">
        <v>746</v>
      </c>
      <c r="C199" s="317"/>
      <c r="D199" s="330"/>
      <c r="E199" s="329"/>
      <c r="F199" s="329"/>
      <c r="G199" s="329">
        <f>INDEX(HY!294:294,MATCH(G$7,HY!$8:$8,0))</f>
        <v>27</v>
      </c>
      <c r="H199" s="329">
        <f>INDEX(HY!294:294,MATCH(H$7,HY!$8:$8,0))</f>
        <v>108.5</v>
      </c>
      <c r="I199" s="329">
        <f>INDEX(HY!294:294,MATCH(I$7,HY!$8:$8,0))</f>
        <v>31.1</v>
      </c>
      <c r="J199" s="329">
        <f>INDEX(HY!294:294,MATCH(J$7,HY!$8:$8,0))</f>
        <v>32.927800549852314</v>
      </c>
      <c r="K199" s="329">
        <f>INDEX(HY!294:294,MATCH(K$7,HY!$8:$8,0))</f>
        <v>39.483763402909453</v>
      </c>
      <c r="L199" s="329">
        <f>INDEX(HY!294:294,MATCH(L$7,HY!$8:$8,0))</f>
        <v>48.786178940079488</v>
      </c>
      <c r="M199" s="329">
        <f>INDEX(HY!294:294,MATCH(M$7,HY!$8:$8,0))</f>
        <v>60.806442591603947</v>
      </c>
      <c r="N199" s="329">
        <f>INDEX(HY!294:294,MATCH(N$7,HY!$8:$8,0))</f>
        <v>74.349613338580113</v>
      </c>
      <c r="O199" s="329">
        <f>INDEX(HY!294:294,MATCH(O$7,HY!$8:$8,0))</f>
        <v>88.746101156876648</v>
      </c>
      <c r="P199" s="329">
        <f>INDEX(HY!294:294,MATCH(P$7,HY!$8:$8,0))</f>
        <v>104.07172932475544</v>
      </c>
      <c r="Q199" s="329">
        <f>INDEX(HY!294:294,MATCH(Q$7,HY!$8:$8,0))</f>
        <v>120.38944250749365</v>
      </c>
    </row>
    <row r="200" spans="1:17" x14ac:dyDescent="0.2">
      <c r="B200" s="326"/>
      <c r="D200" s="326"/>
      <c r="E200" s="325"/>
      <c r="F200" s="325"/>
      <c r="G200" s="325"/>
      <c r="H200" s="325"/>
      <c r="I200" s="325"/>
      <c r="J200" s="325"/>
      <c r="K200" s="325"/>
      <c r="L200" s="325"/>
      <c r="M200" s="325"/>
      <c r="N200" s="325"/>
      <c r="O200" s="325"/>
      <c r="P200" s="325"/>
      <c r="Q200" s="325"/>
    </row>
    <row r="201" spans="1:17" x14ac:dyDescent="0.2">
      <c r="B201" s="341" t="s">
        <v>167</v>
      </c>
      <c r="D201" s="341"/>
      <c r="E201" s="325"/>
      <c r="F201" s="325"/>
      <c r="G201" s="325">
        <f>INDEX(HY!296:296,MATCH(G$7,HY!$8:$8,0))</f>
        <v>0</v>
      </c>
      <c r="H201" s="325">
        <f>INDEX(HY!296:296,MATCH(H$7,HY!$8:$8,0))</f>
        <v>78.2</v>
      </c>
      <c r="I201" s="325">
        <f>INDEX(HY!296:296,MATCH(I$7,HY!$8:$8,0))</f>
        <v>90.1</v>
      </c>
      <c r="J201" s="325">
        <f>INDEX(HY!296:296,MATCH(J$7,HY!$8:$8,0))</f>
        <v>90.1</v>
      </c>
      <c r="K201" s="325">
        <f>INDEX(HY!296:296,MATCH(K$7,HY!$8:$8,0))</f>
        <v>90.1</v>
      </c>
      <c r="L201" s="325">
        <f>INDEX(HY!296:296,MATCH(L$7,HY!$8:$8,0))</f>
        <v>90.1</v>
      </c>
      <c r="M201" s="325">
        <f>INDEX(HY!296:296,MATCH(M$7,HY!$8:$8,0))</f>
        <v>90.1</v>
      </c>
      <c r="N201" s="325">
        <f>INDEX(HY!296:296,MATCH(N$7,HY!$8:$8,0))</f>
        <v>90.1</v>
      </c>
      <c r="O201" s="325">
        <f>INDEX(HY!296:296,MATCH(O$7,HY!$8:$8,0))</f>
        <v>90.1</v>
      </c>
      <c r="P201" s="325">
        <f>INDEX(HY!296:296,MATCH(P$7,HY!$8:$8,0))</f>
        <v>90.1</v>
      </c>
      <c r="Q201" s="325">
        <f>INDEX(HY!296:296,MATCH(Q$7,HY!$8:$8,0))</f>
        <v>90.1</v>
      </c>
    </row>
    <row r="202" spans="1:17" x14ac:dyDescent="0.2">
      <c r="B202" s="341" t="s">
        <v>168</v>
      </c>
      <c r="D202" s="341"/>
      <c r="E202" s="325"/>
      <c r="F202" s="325"/>
      <c r="G202" s="325">
        <f>INDEX(HY!297:297,MATCH(G$7,HY!$8:$8,0))</f>
        <v>0.4</v>
      </c>
      <c r="H202" s="325">
        <f>INDEX(HY!297:297,MATCH(H$7,HY!$8:$8,0))</f>
        <v>1.1000000000000001</v>
      </c>
      <c r="I202" s="325">
        <f>INDEX(HY!297:297,MATCH(I$7,HY!$8:$8,0))</f>
        <v>1.2</v>
      </c>
      <c r="J202" s="325">
        <f>INDEX(HY!297:297,MATCH(J$7,HY!$8:$8,0))</f>
        <v>1.2</v>
      </c>
      <c r="K202" s="325">
        <f>INDEX(HY!297:297,MATCH(K$7,HY!$8:$8,0))</f>
        <v>1.2</v>
      </c>
      <c r="L202" s="325">
        <f>INDEX(HY!297:297,MATCH(L$7,HY!$8:$8,0))</f>
        <v>1.2</v>
      </c>
      <c r="M202" s="325">
        <f>INDEX(HY!297:297,MATCH(M$7,HY!$8:$8,0))</f>
        <v>1.2</v>
      </c>
      <c r="N202" s="325">
        <f>INDEX(HY!297:297,MATCH(N$7,HY!$8:$8,0))</f>
        <v>1.2</v>
      </c>
      <c r="O202" s="325">
        <f>INDEX(HY!297:297,MATCH(O$7,HY!$8:$8,0))</f>
        <v>1.2</v>
      </c>
      <c r="P202" s="325">
        <f>INDEX(HY!297:297,MATCH(P$7,HY!$8:$8,0))</f>
        <v>1.2</v>
      </c>
      <c r="Q202" s="325">
        <f>INDEX(HY!297:297,MATCH(Q$7,HY!$8:$8,0))</f>
        <v>1.2</v>
      </c>
    </row>
    <row r="203" spans="1:17" x14ac:dyDescent="0.2">
      <c r="B203" s="341" t="s">
        <v>169</v>
      </c>
      <c r="D203" s="341"/>
      <c r="E203" s="325"/>
      <c r="F203" s="325"/>
      <c r="G203" s="325">
        <f>INDEX(HY!298:298,MATCH(G$7,HY!$8:$8,0))</f>
        <v>0.2</v>
      </c>
      <c r="H203" s="325">
        <f>INDEX(HY!298:298,MATCH(H$7,HY!$8:$8,0))</f>
        <v>5.2</v>
      </c>
      <c r="I203" s="325">
        <f>INDEX(HY!298:298,MATCH(I$7,HY!$8:$8,0))</f>
        <v>4.3</v>
      </c>
      <c r="J203" s="325">
        <f>INDEX(HY!298:298,MATCH(J$7,HY!$8:$8,0))</f>
        <v>4.3</v>
      </c>
      <c r="K203" s="325">
        <f>INDEX(HY!298:298,MATCH(K$7,HY!$8:$8,0))</f>
        <v>4.3</v>
      </c>
      <c r="L203" s="325">
        <f>INDEX(HY!298:298,MATCH(L$7,HY!$8:$8,0))</f>
        <v>4.3</v>
      </c>
      <c r="M203" s="325">
        <f>INDEX(HY!298:298,MATCH(M$7,HY!$8:$8,0))</f>
        <v>4.3</v>
      </c>
      <c r="N203" s="325">
        <f>INDEX(HY!298:298,MATCH(N$7,HY!$8:$8,0))</f>
        <v>4.3</v>
      </c>
      <c r="O203" s="325">
        <f>INDEX(HY!298:298,MATCH(O$7,HY!$8:$8,0))</f>
        <v>4.3</v>
      </c>
      <c r="P203" s="325">
        <f>INDEX(HY!298:298,MATCH(P$7,HY!$8:$8,0))</f>
        <v>4.3</v>
      </c>
      <c r="Q203" s="325">
        <f>INDEX(HY!298:298,MATCH(Q$7,HY!$8:$8,0))</f>
        <v>4.3</v>
      </c>
    </row>
    <row r="204" spans="1:17" x14ac:dyDescent="0.2">
      <c r="B204" s="341" t="s">
        <v>170</v>
      </c>
      <c r="D204" s="341"/>
      <c r="E204" s="325"/>
      <c r="F204" s="325"/>
      <c r="G204" s="325">
        <f>INDEX(HY!299:299,MATCH(G$7,HY!$8:$8,0))</f>
        <v>0</v>
      </c>
      <c r="H204" s="325">
        <f>INDEX(HY!299:299,MATCH(H$7,HY!$8:$8,0))</f>
        <v>40.200000000000003</v>
      </c>
      <c r="I204" s="325">
        <f>INDEX(HY!299:299,MATCH(I$7,HY!$8:$8,0))</f>
        <v>40.200000000000003</v>
      </c>
      <c r="J204" s="325">
        <f>INDEX(HY!299:299,MATCH(J$7,HY!$8:$8,0))</f>
        <v>40.200000000000003</v>
      </c>
      <c r="K204" s="325">
        <f>INDEX(HY!299:299,MATCH(K$7,HY!$8:$8,0))</f>
        <v>40.200000000000003</v>
      </c>
      <c r="L204" s="325">
        <f>INDEX(HY!299:299,MATCH(L$7,HY!$8:$8,0))</f>
        <v>40.200000000000003</v>
      </c>
      <c r="M204" s="325">
        <f>INDEX(HY!299:299,MATCH(M$7,HY!$8:$8,0))</f>
        <v>40.200000000000003</v>
      </c>
      <c r="N204" s="325">
        <f>INDEX(HY!299:299,MATCH(N$7,HY!$8:$8,0))</f>
        <v>40.200000000000003</v>
      </c>
      <c r="O204" s="325">
        <f>INDEX(HY!299:299,MATCH(O$7,HY!$8:$8,0))</f>
        <v>40.200000000000003</v>
      </c>
      <c r="P204" s="325">
        <f>INDEX(HY!299:299,MATCH(P$7,HY!$8:$8,0))</f>
        <v>40.200000000000003</v>
      </c>
      <c r="Q204" s="325">
        <f>INDEX(HY!299:299,MATCH(Q$7,HY!$8:$8,0))</f>
        <v>40.200000000000003</v>
      </c>
    </row>
    <row r="205" spans="1:17" x14ac:dyDescent="0.2">
      <c r="B205" s="341" t="s">
        <v>171</v>
      </c>
      <c r="D205" s="341"/>
      <c r="E205" s="325"/>
      <c r="F205" s="325"/>
      <c r="G205" s="325">
        <f>INDEX(HY!300:300,MATCH(G$7,HY!$8:$8,0))</f>
        <v>3.1</v>
      </c>
      <c r="H205" s="325">
        <f>INDEX(HY!300:300,MATCH(H$7,HY!$8:$8,0))</f>
        <v>49.399999999999991</v>
      </c>
      <c r="I205" s="325">
        <f>INDEX(HY!300:300,MATCH(I$7,HY!$8:$8,0))</f>
        <v>46.8</v>
      </c>
      <c r="J205" s="325">
        <f>INDEX(HY!300:300,MATCH(J$7,HY!$8:$8,0))</f>
        <v>46.65194028833649</v>
      </c>
      <c r="K205" s="325">
        <f>INDEX(HY!300:300,MATCH(K$7,HY!$8:$8,0))</f>
        <v>47.007964346559383</v>
      </c>
      <c r="L205" s="325">
        <f>INDEX(HY!300:300,MATCH(L$7,HY!$8:$8,0))</f>
        <v>47.788126675720065</v>
      </c>
      <c r="M205" s="325">
        <f>INDEX(HY!300:300,MATCH(M$7,HY!$8:$8,0))</f>
        <v>47.994407024537118</v>
      </c>
      <c r="N205" s="325">
        <f>INDEX(HY!300:300,MATCH(N$7,HY!$8:$8,0))</f>
        <v>48.659800919841096</v>
      </c>
      <c r="O205" s="325">
        <f>INDEX(HY!300:300,MATCH(O$7,HY!$8:$8,0))</f>
        <v>49.715001375849049</v>
      </c>
      <c r="P205" s="325">
        <f>INDEX(HY!300:300,MATCH(P$7,HY!$8:$8,0))</f>
        <v>51.106203098345055</v>
      </c>
      <c r="Q205" s="325">
        <f>INDEX(HY!300:300,MATCH(Q$7,HY!$8:$8,0))</f>
        <v>52.791978390254592</v>
      </c>
    </row>
    <row r="206" spans="1:17" x14ac:dyDescent="0.2">
      <c r="B206" s="341" t="s">
        <v>172</v>
      </c>
      <c r="D206" s="341"/>
      <c r="E206" s="325"/>
      <c r="F206" s="325"/>
      <c r="G206" s="325">
        <f>INDEX(HY!301:301,MATCH(G$7,HY!$8:$8,0))</f>
        <v>6.6</v>
      </c>
      <c r="H206" s="325">
        <f>INDEX(HY!301:301,MATCH(H$7,HY!$8:$8,0))</f>
        <v>0</v>
      </c>
      <c r="I206" s="325">
        <f>INDEX(HY!301:301,MATCH(I$7,HY!$8:$8,0))</f>
        <v>0</v>
      </c>
      <c r="J206" s="325">
        <f>INDEX(HY!301:301,MATCH(J$7,HY!$8:$8,0))</f>
        <v>0</v>
      </c>
      <c r="K206" s="325">
        <f>INDEX(HY!301:301,MATCH(K$7,HY!$8:$8,0))</f>
        <v>0</v>
      </c>
      <c r="L206" s="325">
        <f>INDEX(HY!301:301,MATCH(L$7,HY!$8:$8,0))</f>
        <v>0</v>
      </c>
      <c r="M206" s="325">
        <f>INDEX(HY!301:301,MATCH(M$7,HY!$8:$8,0))</f>
        <v>0</v>
      </c>
      <c r="N206" s="325">
        <f>INDEX(HY!301:301,MATCH(N$7,HY!$8:$8,0))</f>
        <v>0</v>
      </c>
      <c r="O206" s="325">
        <f>INDEX(HY!301:301,MATCH(O$7,HY!$8:$8,0))</f>
        <v>0</v>
      </c>
      <c r="P206" s="325">
        <f>INDEX(HY!301:301,MATCH(P$7,HY!$8:$8,0))</f>
        <v>0</v>
      </c>
      <c r="Q206" s="325">
        <f>INDEX(HY!301:301,MATCH(Q$7,HY!$8:$8,0))</f>
        <v>0</v>
      </c>
    </row>
    <row r="207" spans="1:17" x14ac:dyDescent="0.2">
      <c r="B207" s="341" t="s">
        <v>173</v>
      </c>
      <c r="D207" s="341"/>
      <c r="E207" s="325"/>
      <c r="F207" s="325"/>
      <c r="G207" s="325">
        <f>INDEX(HY!302:302,MATCH(G$7,HY!$8:$8,0))</f>
        <v>0.1</v>
      </c>
      <c r="H207" s="325">
        <f>INDEX(HY!302:302,MATCH(H$7,HY!$8:$8,0))</f>
        <v>0.1</v>
      </c>
      <c r="I207" s="325">
        <f>INDEX(HY!302:302,MATCH(I$7,HY!$8:$8,0))</f>
        <v>0</v>
      </c>
      <c r="J207" s="325">
        <f>INDEX(HY!302:302,MATCH(J$7,HY!$8:$8,0))</f>
        <v>0</v>
      </c>
      <c r="K207" s="325">
        <f>INDEX(HY!302:302,MATCH(K$7,HY!$8:$8,0))</f>
        <v>0</v>
      </c>
      <c r="L207" s="325">
        <f>INDEX(HY!302:302,MATCH(L$7,HY!$8:$8,0))</f>
        <v>0</v>
      </c>
      <c r="M207" s="325">
        <f>INDEX(HY!302:302,MATCH(M$7,HY!$8:$8,0))</f>
        <v>0</v>
      </c>
      <c r="N207" s="325">
        <f>INDEX(HY!302:302,MATCH(N$7,HY!$8:$8,0))</f>
        <v>0</v>
      </c>
      <c r="O207" s="325">
        <f>INDEX(HY!302:302,MATCH(O$7,HY!$8:$8,0))</f>
        <v>0</v>
      </c>
      <c r="P207" s="325">
        <f>INDEX(HY!302:302,MATCH(P$7,HY!$8:$8,0))</f>
        <v>0</v>
      </c>
      <c r="Q207" s="325">
        <f>INDEX(HY!302:302,MATCH(Q$7,HY!$8:$8,0))</f>
        <v>0</v>
      </c>
    </row>
    <row r="208" spans="1:17" x14ac:dyDescent="0.2">
      <c r="B208" s="270" t="s">
        <v>67</v>
      </c>
      <c r="C208" s="260"/>
      <c r="D208" s="270"/>
      <c r="E208" s="254"/>
      <c r="F208" s="254"/>
      <c r="G208" s="254" t="s">
        <v>67</v>
      </c>
      <c r="H208" s="254" t="s">
        <v>67</v>
      </c>
      <c r="I208" s="254" t="s">
        <v>67</v>
      </c>
      <c r="J208" s="254" t="s">
        <v>67</v>
      </c>
      <c r="K208" s="254" t="s">
        <v>67</v>
      </c>
      <c r="L208" s="254" t="s">
        <v>67</v>
      </c>
      <c r="M208" s="254" t="s">
        <v>67</v>
      </c>
      <c r="N208" s="254" t="s">
        <v>67</v>
      </c>
      <c r="O208" s="254" t="s">
        <v>67</v>
      </c>
      <c r="P208" s="254" t="s">
        <v>67</v>
      </c>
      <c r="Q208" s="254" t="s">
        <v>67</v>
      </c>
    </row>
    <row r="209" spans="2:17" s="319" customFormat="1" x14ac:dyDescent="0.2">
      <c r="B209" s="330" t="s">
        <v>768</v>
      </c>
      <c r="C209" s="317"/>
      <c r="D209" s="330"/>
      <c r="E209" s="329"/>
      <c r="F209" s="329"/>
      <c r="G209" s="329">
        <f>INDEX(HY!304:304,MATCH(G$7,HY!$8:$8,0))</f>
        <v>10.4</v>
      </c>
      <c r="H209" s="329">
        <f>INDEX(HY!304:304,MATCH(H$7,HY!$8:$8,0))</f>
        <v>174.2</v>
      </c>
      <c r="I209" s="329">
        <f>INDEX(HY!304:304,MATCH(I$7,HY!$8:$8,0))</f>
        <v>182.60000000000002</v>
      </c>
      <c r="J209" s="329">
        <f>INDEX(HY!304:304,MATCH(J$7,HY!$8:$8,0))</f>
        <v>182.45194028833652</v>
      </c>
      <c r="K209" s="329">
        <f>INDEX(HY!304:304,MATCH(K$7,HY!$8:$8,0))</f>
        <v>182.8079643465594</v>
      </c>
      <c r="L209" s="329">
        <f>INDEX(HY!304:304,MATCH(L$7,HY!$8:$8,0))</f>
        <v>183.58812667572008</v>
      </c>
      <c r="M209" s="329">
        <f>INDEX(HY!304:304,MATCH(M$7,HY!$8:$8,0))</f>
        <v>183.79440702453712</v>
      </c>
      <c r="N209" s="329">
        <f>INDEX(HY!304:304,MATCH(N$7,HY!$8:$8,0))</f>
        <v>184.45980091984111</v>
      </c>
      <c r="O209" s="329">
        <f>INDEX(HY!304:304,MATCH(O$7,HY!$8:$8,0))</f>
        <v>185.51500137584907</v>
      </c>
      <c r="P209" s="329">
        <f>INDEX(HY!304:304,MATCH(P$7,HY!$8:$8,0))</f>
        <v>186.90620309834506</v>
      </c>
      <c r="Q209" s="329">
        <f>INDEX(HY!304:304,MATCH(Q$7,HY!$8:$8,0))</f>
        <v>188.59197839025461</v>
      </c>
    </row>
    <row r="210" spans="2:17" s="319" customFormat="1" x14ac:dyDescent="0.2">
      <c r="B210" s="328" t="s">
        <v>774</v>
      </c>
      <c r="C210" s="317"/>
      <c r="D210" s="328"/>
      <c r="E210" s="329"/>
      <c r="F210" s="329"/>
      <c r="G210" s="329">
        <f>INDEX(HY!305:305,MATCH(G$7,HY!$8:$8,0))</f>
        <v>37.4</v>
      </c>
      <c r="H210" s="329">
        <f>INDEX(HY!305:305,MATCH(H$7,HY!$8:$8,0))</f>
        <v>282.7</v>
      </c>
      <c r="I210" s="329">
        <f>INDEX(HY!305:305,MATCH(I$7,HY!$8:$8,0))</f>
        <v>213.70000000000002</v>
      </c>
      <c r="J210" s="329">
        <f>INDEX(HY!305:305,MATCH(J$7,HY!$8:$8,0))</f>
        <v>215.37974083818884</v>
      </c>
      <c r="K210" s="329">
        <f>INDEX(HY!305:305,MATCH(K$7,HY!$8:$8,0))</f>
        <v>222.29172774946886</v>
      </c>
      <c r="L210" s="329">
        <f>INDEX(HY!305:305,MATCH(L$7,HY!$8:$8,0))</f>
        <v>232.37430561579956</v>
      </c>
      <c r="M210" s="329">
        <f>INDEX(HY!305:305,MATCH(M$7,HY!$8:$8,0))</f>
        <v>244.60084961614106</v>
      </c>
      <c r="N210" s="329">
        <f>INDEX(HY!305:305,MATCH(N$7,HY!$8:$8,0))</f>
        <v>258.80941425842121</v>
      </c>
      <c r="O210" s="329">
        <f>INDEX(HY!305:305,MATCH(O$7,HY!$8:$8,0))</f>
        <v>274.26110253272572</v>
      </c>
      <c r="P210" s="329">
        <f>INDEX(HY!305:305,MATCH(P$7,HY!$8:$8,0))</f>
        <v>290.97793242310047</v>
      </c>
      <c r="Q210" s="329">
        <f>INDEX(HY!305:305,MATCH(Q$7,HY!$8:$8,0))</f>
        <v>308.98142089774825</v>
      </c>
    </row>
    <row r="211" spans="2:17" x14ac:dyDescent="0.2">
      <c r="E211" s="325"/>
      <c r="F211" s="325"/>
      <c r="G211" s="325"/>
      <c r="H211" s="325"/>
      <c r="I211" s="325"/>
      <c r="J211" s="325"/>
      <c r="K211" s="325"/>
      <c r="L211" s="325"/>
      <c r="M211" s="325"/>
      <c r="N211" s="325"/>
      <c r="O211" s="325"/>
      <c r="P211" s="325"/>
      <c r="Q211" s="325"/>
    </row>
    <row r="212" spans="2:17" x14ac:dyDescent="0.2">
      <c r="E212" s="325"/>
      <c r="F212" s="325"/>
      <c r="G212" s="325"/>
      <c r="H212" s="325"/>
      <c r="I212" s="325"/>
      <c r="J212" s="325"/>
      <c r="K212" s="325"/>
      <c r="L212" s="325"/>
      <c r="M212" s="325"/>
      <c r="N212" s="325"/>
      <c r="O212" s="325"/>
      <c r="P212" s="325"/>
      <c r="Q212" s="325"/>
    </row>
    <row r="213" spans="2:17" x14ac:dyDescent="0.2">
      <c r="B213" s="341" t="s">
        <v>176</v>
      </c>
      <c r="D213" s="341"/>
      <c r="E213" s="325"/>
      <c r="F213" s="325"/>
      <c r="G213" s="325">
        <f>INDEX(HY!307:307,MATCH(G$7,HY!$8:$8,0))</f>
        <v>11.6</v>
      </c>
      <c r="H213" s="325">
        <f>INDEX(HY!307:307,MATCH(H$7,HY!$8:$8,0))</f>
        <v>20.399999999999999</v>
      </c>
      <c r="I213" s="325">
        <f>INDEX(HY!307:307,MATCH(I$7,HY!$8:$8,0))</f>
        <v>25.4</v>
      </c>
      <c r="J213" s="325">
        <f>INDEX(HY!307:307,MATCH(J$7,HY!$8:$8,0))</f>
        <v>27.460432304218667</v>
      </c>
      <c r="K213" s="325">
        <f>INDEX(HY!307:307,MATCH(K$7,HY!$8:$8,0))</f>
        <v>28.833453919429598</v>
      </c>
      <c r="L213" s="325">
        <f>INDEX(HY!307:307,MATCH(L$7,HY!$8:$8,0))</f>
        <v>30.275126615401078</v>
      </c>
      <c r="M213" s="325">
        <f>INDEX(HY!307:307,MATCH(M$7,HY!$8:$8,0))</f>
        <v>31.788882946171139</v>
      </c>
      <c r="N213" s="325">
        <f>INDEX(HY!307:307,MATCH(N$7,HY!$8:$8,0))</f>
        <v>33.378327093479697</v>
      </c>
      <c r="O213" s="325">
        <f>INDEX(HY!307:307,MATCH(O$7,HY!$8:$8,0))</f>
        <v>35.047243448153687</v>
      </c>
      <c r="P213" s="325">
        <f>INDEX(HY!307:307,MATCH(P$7,HY!$8:$8,0))</f>
        <v>36.799605620561373</v>
      </c>
      <c r="Q213" s="325">
        <f>INDEX(HY!307:307,MATCH(Q$7,HY!$8:$8,0))</f>
        <v>38.639585901589442</v>
      </c>
    </row>
    <row r="214" spans="2:17" x14ac:dyDescent="0.2">
      <c r="B214" s="341" t="s">
        <v>177</v>
      </c>
      <c r="D214" s="341"/>
      <c r="E214" s="325"/>
      <c r="F214" s="325"/>
      <c r="G214" s="325">
        <f>INDEX(HY!308:308,MATCH(G$7,HY!$8:$8,0))</f>
        <v>0</v>
      </c>
      <c r="H214" s="325">
        <f>INDEX(HY!308:308,MATCH(H$7,HY!$8:$8,0))</f>
        <v>0</v>
      </c>
      <c r="I214" s="325">
        <f>INDEX(HY!308:308,MATCH(I$7,HY!$8:$8,0))</f>
        <v>0</v>
      </c>
      <c r="J214" s="325">
        <f>INDEX(HY!308:308,MATCH(J$7,HY!$8:$8,0))</f>
        <v>0</v>
      </c>
      <c r="K214" s="325">
        <f>INDEX(HY!308:308,MATCH(K$7,HY!$8:$8,0))</f>
        <v>0</v>
      </c>
      <c r="L214" s="325">
        <f>INDEX(HY!308:308,MATCH(L$7,HY!$8:$8,0))</f>
        <v>0</v>
      </c>
      <c r="M214" s="325">
        <f>INDEX(HY!308:308,MATCH(M$7,HY!$8:$8,0))</f>
        <v>0</v>
      </c>
      <c r="N214" s="325">
        <f>INDEX(HY!308:308,MATCH(N$7,HY!$8:$8,0))</f>
        <v>0</v>
      </c>
      <c r="O214" s="325">
        <f>INDEX(HY!308:308,MATCH(O$7,HY!$8:$8,0))</f>
        <v>0</v>
      </c>
      <c r="P214" s="325">
        <f>INDEX(HY!308:308,MATCH(P$7,HY!$8:$8,0))</f>
        <v>0</v>
      </c>
      <c r="Q214" s="325">
        <f>INDEX(HY!308:308,MATCH(Q$7,HY!$8:$8,0))</f>
        <v>0</v>
      </c>
    </row>
    <row r="215" spans="2:17" x14ac:dyDescent="0.2">
      <c r="B215" s="341" t="s">
        <v>178</v>
      </c>
      <c r="D215" s="341"/>
      <c r="E215" s="325"/>
      <c r="F215" s="325"/>
      <c r="G215" s="325">
        <f>INDEX(HY!309:309,MATCH(G$7,HY!$8:$8,0))</f>
        <v>0</v>
      </c>
      <c r="H215" s="325">
        <f>INDEX(HY!309:309,MATCH(H$7,HY!$8:$8,0))</f>
        <v>33.299999999999997</v>
      </c>
      <c r="I215" s="325">
        <f>INDEX(HY!309:309,MATCH(I$7,HY!$8:$8,0))</f>
        <v>0</v>
      </c>
      <c r="J215" s="325">
        <f>INDEX(HY!309:309,MATCH(J$7,HY!$8:$8,0))</f>
        <v>0</v>
      </c>
      <c r="K215" s="325">
        <f>INDEX(HY!309:309,MATCH(K$7,HY!$8:$8,0))</f>
        <v>0</v>
      </c>
      <c r="L215" s="325">
        <f>INDEX(HY!309:309,MATCH(L$7,HY!$8:$8,0))</f>
        <v>0</v>
      </c>
      <c r="M215" s="325">
        <f>INDEX(HY!309:309,MATCH(M$7,HY!$8:$8,0))</f>
        <v>0</v>
      </c>
      <c r="N215" s="325">
        <f>INDEX(HY!309:309,MATCH(N$7,HY!$8:$8,0))</f>
        <v>0</v>
      </c>
      <c r="O215" s="325">
        <f>INDEX(HY!309:309,MATCH(O$7,HY!$8:$8,0))</f>
        <v>0</v>
      </c>
      <c r="P215" s="325">
        <f>INDEX(HY!309:309,MATCH(P$7,HY!$8:$8,0))</f>
        <v>0</v>
      </c>
      <c r="Q215" s="325">
        <f>INDEX(HY!309:309,MATCH(Q$7,HY!$8:$8,0))</f>
        <v>0</v>
      </c>
    </row>
    <row r="216" spans="2:17" x14ac:dyDescent="0.2">
      <c r="B216" s="341" t="s">
        <v>179</v>
      </c>
      <c r="D216" s="341"/>
      <c r="E216" s="325"/>
      <c r="F216" s="325"/>
      <c r="G216" s="325">
        <f>INDEX(HY!310:310,MATCH(G$7,HY!$8:$8,0))</f>
        <v>0.4</v>
      </c>
      <c r="H216" s="325">
        <f>INDEX(HY!310:310,MATCH(H$7,HY!$8:$8,0))</f>
        <v>1</v>
      </c>
      <c r="I216" s="325">
        <f>INDEX(HY!310:310,MATCH(I$7,HY!$8:$8,0))</f>
        <v>1.2</v>
      </c>
      <c r="J216" s="325">
        <f>INDEX(HY!310:310,MATCH(J$7,HY!$8:$8,0))</f>
        <v>1.2</v>
      </c>
      <c r="K216" s="325">
        <f>INDEX(HY!310:310,MATCH(K$7,HY!$8:$8,0))</f>
        <v>1.2</v>
      </c>
      <c r="L216" s="325">
        <f>INDEX(HY!310:310,MATCH(L$7,HY!$8:$8,0))</f>
        <v>1.2</v>
      </c>
      <c r="M216" s="325">
        <f>INDEX(HY!310:310,MATCH(M$7,HY!$8:$8,0))</f>
        <v>1.2</v>
      </c>
      <c r="N216" s="325">
        <f>INDEX(HY!310:310,MATCH(N$7,HY!$8:$8,0))</f>
        <v>1.2</v>
      </c>
      <c r="O216" s="325">
        <f>INDEX(HY!310:310,MATCH(O$7,HY!$8:$8,0))</f>
        <v>1.2</v>
      </c>
      <c r="P216" s="325">
        <f>INDEX(HY!310:310,MATCH(P$7,HY!$8:$8,0))</f>
        <v>1.2</v>
      </c>
      <c r="Q216" s="325">
        <f>INDEX(HY!310:310,MATCH(Q$7,HY!$8:$8,0))</f>
        <v>1.2</v>
      </c>
    </row>
    <row r="217" spans="2:17" x14ac:dyDescent="0.2">
      <c r="B217" s="341" t="s">
        <v>180</v>
      </c>
      <c r="D217" s="341"/>
      <c r="E217" s="325"/>
      <c r="F217" s="325"/>
      <c r="G217" s="325">
        <f>INDEX(HY!311:311,MATCH(G$7,HY!$8:$8,0))</f>
        <v>2.1</v>
      </c>
      <c r="H217" s="325">
        <f>INDEX(HY!311:311,MATCH(H$7,HY!$8:$8,0))</f>
        <v>4.5</v>
      </c>
      <c r="I217" s="325">
        <f>INDEX(HY!311:311,MATCH(I$7,HY!$8:$8,0))</f>
        <v>3.5</v>
      </c>
      <c r="J217" s="325">
        <f>INDEX(HY!311:311,MATCH(J$7,HY!$8:$8,0))</f>
        <v>3.5</v>
      </c>
      <c r="K217" s="325">
        <f>INDEX(HY!311:311,MATCH(K$7,HY!$8:$8,0))</f>
        <v>3.5</v>
      </c>
      <c r="L217" s="325">
        <f>INDEX(HY!311:311,MATCH(L$7,HY!$8:$8,0))</f>
        <v>3.5</v>
      </c>
      <c r="M217" s="325">
        <f>INDEX(HY!311:311,MATCH(M$7,HY!$8:$8,0))</f>
        <v>3.5</v>
      </c>
      <c r="N217" s="325">
        <f>INDEX(HY!311:311,MATCH(N$7,HY!$8:$8,0))</f>
        <v>3.5</v>
      </c>
      <c r="O217" s="325">
        <f>INDEX(HY!311:311,MATCH(O$7,HY!$8:$8,0))</f>
        <v>3.5</v>
      </c>
      <c r="P217" s="325">
        <f>INDEX(HY!311:311,MATCH(P$7,HY!$8:$8,0))</f>
        <v>3.5</v>
      </c>
      <c r="Q217" s="325">
        <f>INDEX(HY!311:311,MATCH(Q$7,HY!$8:$8,0))</f>
        <v>3.5</v>
      </c>
    </row>
    <row r="218" spans="2:17" x14ac:dyDescent="0.2">
      <c r="B218" s="341" t="s">
        <v>181</v>
      </c>
      <c r="D218" s="341"/>
      <c r="E218" s="325"/>
      <c r="F218" s="325"/>
      <c r="G218" s="325">
        <f>INDEX(HY!312:312,MATCH(G$7,HY!$8:$8,0))</f>
        <v>0</v>
      </c>
      <c r="H218" s="325">
        <f>INDEX(HY!312:312,MATCH(H$7,HY!$8:$8,0))</f>
        <v>0</v>
      </c>
      <c r="I218" s="325">
        <f>INDEX(HY!312:312,MATCH(I$7,HY!$8:$8,0))</f>
        <v>0</v>
      </c>
      <c r="J218" s="325">
        <f>INDEX(HY!312:312,MATCH(J$7,HY!$8:$8,0))</f>
        <v>0</v>
      </c>
      <c r="K218" s="325">
        <f>INDEX(HY!312:312,MATCH(K$7,HY!$8:$8,0))</f>
        <v>0</v>
      </c>
      <c r="L218" s="325">
        <f>INDEX(HY!312:312,MATCH(L$7,HY!$8:$8,0))</f>
        <v>0</v>
      </c>
      <c r="M218" s="325">
        <f>INDEX(HY!312:312,MATCH(M$7,HY!$8:$8,0))</f>
        <v>0</v>
      </c>
      <c r="N218" s="325">
        <f>INDEX(HY!312:312,MATCH(N$7,HY!$8:$8,0))</f>
        <v>0</v>
      </c>
      <c r="O218" s="325">
        <f>INDEX(HY!312:312,MATCH(O$7,HY!$8:$8,0))</f>
        <v>0</v>
      </c>
      <c r="P218" s="325">
        <f>INDEX(HY!312:312,MATCH(P$7,HY!$8:$8,0))</f>
        <v>0</v>
      </c>
      <c r="Q218" s="325">
        <f>INDEX(HY!312:312,MATCH(Q$7,HY!$8:$8,0))</f>
        <v>0</v>
      </c>
    </row>
    <row r="219" spans="2:17" x14ac:dyDescent="0.2">
      <c r="B219" s="341" t="s">
        <v>182</v>
      </c>
      <c r="D219" s="341"/>
      <c r="E219" s="325"/>
      <c r="F219" s="325"/>
      <c r="G219" s="325">
        <f>INDEX(HY!313:313,MATCH(G$7,HY!$8:$8,0))</f>
        <v>5.2</v>
      </c>
      <c r="H219" s="325">
        <f>INDEX(HY!313:313,MATCH(H$7,HY!$8:$8,0))</f>
        <v>13.4</v>
      </c>
      <c r="I219" s="325">
        <f>INDEX(HY!313:313,MATCH(I$7,HY!$8:$8,0))</f>
        <v>11</v>
      </c>
      <c r="J219" s="325">
        <f>INDEX(HY!313:313,MATCH(J$7,HY!$8:$8,0))</f>
        <v>11</v>
      </c>
      <c r="K219" s="325">
        <f>INDEX(HY!313:313,MATCH(K$7,HY!$8:$8,0))</f>
        <v>11</v>
      </c>
      <c r="L219" s="325">
        <f>INDEX(HY!313:313,MATCH(L$7,HY!$8:$8,0))</f>
        <v>11</v>
      </c>
      <c r="M219" s="325">
        <f>INDEX(HY!313:313,MATCH(M$7,HY!$8:$8,0))</f>
        <v>11</v>
      </c>
      <c r="N219" s="325">
        <f>INDEX(HY!313:313,MATCH(N$7,HY!$8:$8,0))</f>
        <v>11</v>
      </c>
      <c r="O219" s="325">
        <f>INDEX(HY!313:313,MATCH(O$7,HY!$8:$8,0))</f>
        <v>11</v>
      </c>
      <c r="P219" s="325">
        <f>INDEX(HY!313:313,MATCH(P$7,HY!$8:$8,0))</f>
        <v>11</v>
      </c>
      <c r="Q219" s="325">
        <f>INDEX(HY!313:313,MATCH(Q$7,HY!$8:$8,0))</f>
        <v>11</v>
      </c>
    </row>
    <row r="220" spans="2:17" x14ac:dyDescent="0.2">
      <c r="B220" s="341" t="s">
        <v>183</v>
      </c>
      <c r="D220" s="341"/>
      <c r="E220" s="325"/>
      <c r="F220" s="325"/>
      <c r="G220" s="325">
        <f>INDEX(HY!314:314,MATCH(G$7,HY!$8:$8,0))</f>
        <v>0</v>
      </c>
      <c r="H220" s="325">
        <f>INDEX(HY!314:314,MATCH(H$7,HY!$8:$8,0))</f>
        <v>0</v>
      </c>
      <c r="I220" s="325">
        <f>INDEX(HY!314:314,MATCH(I$7,HY!$8:$8,0))</f>
        <v>0.2</v>
      </c>
      <c r="J220" s="325">
        <f>INDEX(HY!314:314,MATCH(J$7,HY!$8:$8,0))</f>
        <v>0.2</v>
      </c>
      <c r="K220" s="325">
        <f>INDEX(HY!314:314,MATCH(K$7,HY!$8:$8,0))</f>
        <v>0.2</v>
      </c>
      <c r="L220" s="325">
        <f>INDEX(HY!314:314,MATCH(L$7,HY!$8:$8,0))</f>
        <v>0.2</v>
      </c>
      <c r="M220" s="325">
        <f>INDEX(HY!314:314,MATCH(M$7,HY!$8:$8,0))</f>
        <v>0.2</v>
      </c>
      <c r="N220" s="325">
        <f>INDEX(HY!314:314,MATCH(N$7,HY!$8:$8,0))</f>
        <v>0.2</v>
      </c>
      <c r="O220" s="325">
        <f>INDEX(HY!314:314,MATCH(O$7,HY!$8:$8,0))</f>
        <v>0.2</v>
      </c>
      <c r="P220" s="325">
        <f>INDEX(HY!314:314,MATCH(P$7,HY!$8:$8,0))</f>
        <v>0.2</v>
      </c>
      <c r="Q220" s="325">
        <f>INDEX(HY!314:314,MATCH(Q$7,HY!$8:$8,0))</f>
        <v>0.2</v>
      </c>
    </row>
    <row r="221" spans="2:17" x14ac:dyDescent="0.2">
      <c r="B221" s="270" t="s">
        <v>67</v>
      </c>
      <c r="C221" s="260"/>
      <c r="D221" s="270"/>
      <c r="E221" s="254"/>
      <c r="F221" s="254"/>
      <c r="G221" s="254" t="s">
        <v>67</v>
      </c>
      <c r="H221" s="254" t="s">
        <v>67</v>
      </c>
      <c r="I221" s="254" t="s">
        <v>67</v>
      </c>
      <c r="J221" s="254" t="s">
        <v>67</v>
      </c>
      <c r="K221" s="254" t="s">
        <v>67</v>
      </c>
      <c r="L221" s="254" t="s">
        <v>67</v>
      </c>
      <c r="M221" s="254" t="s">
        <v>67</v>
      </c>
      <c r="N221" s="254" t="s">
        <v>67</v>
      </c>
      <c r="O221" s="254" t="s">
        <v>67</v>
      </c>
      <c r="P221" s="254" t="s">
        <v>67</v>
      </c>
      <c r="Q221" s="254" t="s">
        <v>67</v>
      </c>
    </row>
    <row r="222" spans="2:17" s="319" customFormat="1" x14ac:dyDescent="0.2">
      <c r="B222" s="330" t="s">
        <v>1215</v>
      </c>
      <c r="C222" s="317"/>
      <c r="D222" s="330"/>
      <c r="E222" s="329"/>
      <c r="F222" s="329"/>
      <c r="G222" s="329">
        <f>INDEX(HY!316:316,MATCH(G$7,HY!$8:$8,0))</f>
        <v>19.3</v>
      </c>
      <c r="H222" s="329">
        <f>INDEX(HY!316:316,MATCH(H$7,HY!$8:$8,0))</f>
        <v>72.599999999999994</v>
      </c>
      <c r="I222" s="329">
        <f>INDEX(HY!316:316,MATCH(I$7,HY!$8:$8,0))</f>
        <v>41.3</v>
      </c>
      <c r="J222" s="329">
        <f>INDEX(HY!316:316,MATCH(J$7,HY!$8:$8,0))</f>
        <v>43.360432304218669</v>
      </c>
      <c r="K222" s="329">
        <f>INDEX(HY!316:316,MATCH(K$7,HY!$8:$8,0))</f>
        <v>44.7334539194296</v>
      </c>
      <c r="L222" s="329">
        <f>INDEX(HY!316:316,MATCH(L$7,HY!$8:$8,0))</f>
        <v>46.175126615401084</v>
      </c>
      <c r="M222" s="329">
        <f>INDEX(HY!316:316,MATCH(M$7,HY!$8:$8,0))</f>
        <v>47.688882946171141</v>
      </c>
      <c r="N222" s="329">
        <f>INDEX(HY!316:316,MATCH(N$7,HY!$8:$8,0))</f>
        <v>49.278327093479703</v>
      </c>
      <c r="O222" s="329">
        <f>INDEX(HY!316:316,MATCH(O$7,HY!$8:$8,0))</f>
        <v>50.947243448153692</v>
      </c>
      <c r="P222" s="329">
        <f>INDEX(HY!316:316,MATCH(P$7,HY!$8:$8,0))</f>
        <v>52.699605620561378</v>
      </c>
      <c r="Q222" s="329">
        <f>INDEX(HY!316:316,MATCH(Q$7,HY!$8:$8,0))</f>
        <v>54.539585901589447</v>
      </c>
    </row>
    <row r="223" spans="2:17" x14ac:dyDescent="0.2">
      <c r="B223" s="326"/>
      <c r="D223" s="326"/>
      <c r="E223" s="325"/>
      <c r="F223" s="325"/>
      <c r="G223" s="325"/>
      <c r="H223" s="325"/>
      <c r="I223" s="325"/>
      <c r="J223" s="325"/>
      <c r="K223" s="325"/>
      <c r="L223" s="325"/>
      <c r="M223" s="325"/>
      <c r="N223" s="325"/>
      <c r="O223" s="325"/>
      <c r="P223" s="325"/>
      <c r="Q223" s="325"/>
    </row>
    <row r="224" spans="2:17" x14ac:dyDescent="0.2">
      <c r="B224" s="263" t="s">
        <v>176</v>
      </c>
      <c r="D224" s="341"/>
      <c r="E224" s="325"/>
      <c r="F224" s="325"/>
      <c r="G224" s="325">
        <f>INDEX(HY!318:318,MATCH(G$7,HY!$8:$8,0))</f>
        <v>14.5</v>
      </c>
      <c r="H224" s="325">
        <f>INDEX(HY!318:318,MATCH(H$7,HY!$8:$8,0))</f>
        <v>5</v>
      </c>
      <c r="I224" s="325">
        <f>INDEX(HY!318:318,MATCH(I$7,HY!$8:$8,0))</f>
        <v>1.1000000000000001</v>
      </c>
      <c r="J224" s="325">
        <f>INDEX(HY!318:318,MATCH(J$7,HY!$8:$8,0))</f>
        <v>1.1000000000000001</v>
      </c>
      <c r="K224" s="325">
        <f>INDEX(HY!318:318,MATCH(K$7,HY!$8:$8,0))</f>
        <v>1.1000000000000001</v>
      </c>
      <c r="L224" s="325">
        <f>INDEX(HY!318:318,MATCH(L$7,HY!$8:$8,0))</f>
        <v>1.1000000000000001</v>
      </c>
      <c r="M224" s="325">
        <f>INDEX(HY!318:318,MATCH(M$7,HY!$8:$8,0))</f>
        <v>1.1000000000000001</v>
      </c>
      <c r="N224" s="325">
        <f>INDEX(HY!318:318,MATCH(N$7,HY!$8:$8,0))</f>
        <v>1.1000000000000001</v>
      </c>
      <c r="O224" s="325">
        <f>INDEX(HY!318:318,MATCH(O$7,HY!$8:$8,0))</f>
        <v>1.1000000000000001</v>
      </c>
      <c r="P224" s="325">
        <f>INDEX(HY!318:318,MATCH(P$7,HY!$8:$8,0))</f>
        <v>1.1000000000000001</v>
      </c>
      <c r="Q224" s="325">
        <f>INDEX(HY!318:318,MATCH(Q$7,HY!$8:$8,0))</f>
        <v>1.1000000000000001</v>
      </c>
    </row>
    <row r="225" spans="2:17" x14ac:dyDescent="0.2">
      <c r="B225" s="341" t="s">
        <v>185</v>
      </c>
      <c r="D225" s="341"/>
      <c r="E225" s="325"/>
      <c r="F225" s="325"/>
      <c r="G225" s="325">
        <f>INDEX(HY!319:319,MATCH(G$7,HY!$8:$8,0))</f>
        <v>0.1</v>
      </c>
      <c r="H225" s="325">
        <f>INDEX(HY!319:319,MATCH(H$7,HY!$8:$8,0))</f>
        <v>0</v>
      </c>
      <c r="I225" s="325">
        <f>INDEX(HY!319:319,MATCH(I$7,HY!$8:$8,0))</f>
        <v>33.799999999999997</v>
      </c>
      <c r="J225" s="325">
        <f>INDEX(HY!319:319,MATCH(J$7,HY!$8:$8,0))</f>
        <v>33.799999999999997</v>
      </c>
      <c r="K225" s="325">
        <f>INDEX(HY!319:319,MATCH(K$7,HY!$8:$8,0))</f>
        <v>33.799999999999997</v>
      </c>
      <c r="L225" s="325">
        <f>INDEX(HY!319:319,MATCH(L$7,HY!$8:$8,0))</f>
        <v>33.799999999999997</v>
      </c>
      <c r="M225" s="325">
        <f>INDEX(HY!319:319,MATCH(M$7,HY!$8:$8,0))</f>
        <v>33.799999999999997</v>
      </c>
      <c r="N225" s="325">
        <f>INDEX(HY!319:319,MATCH(N$7,HY!$8:$8,0))</f>
        <v>33.799999999999997</v>
      </c>
      <c r="O225" s="325">
        <f>INDEX(HY!319:319,MATCH(O$7,HY!$8:$8,0))</f>
        <v>33.799999999999997</v>
      </c>
      <c r="P225" s="325">
        <f>INDEX(HY!319:319,MATCH(P$7,HY!$8:$8,0))</f>
        <v>33.799999999999997</v>
      </c>
      <c r="Q225" s="325">
        <f>INDEX(HY!319:319,MATCH(Q$7,HY!$8:$8,0))</f>
        <v>33.799999999999997</v>
      </c>
    </row>
    <row r="226" spans="2:17" x14ac:dyDescent="0.2">
      <c r="B226" s="341" t="s">
        <v>186</v>
      </c>
      <c r="D226" s="341"/>
      <c r="E226" s="325"/>
      <c r="F226" s="325"/>
      <c r="G226" s="325">
        <f>INDEX(HY!320:320,MATCH(G$7,HY!$8:$8,0))</f>
        <v>0</v>
      </c>
      <c r="H226" s="325">
        <f>INDEX(HY!320:320,MATCH(H$7,HY!$8:$8,0))</f>
        <v>4.5999999999999996</v>
      </c>
      <c r="I226" s="325">
        <f>INDEX(HY!320:320,MATCH(I$7,HY!$8:$8,0))</f>
        <v>3.7</v>
      </c>
      <c r="J226" s="325">
        <f>INDEX(HY!320:320,MATCH(J$7,HY!$8:$8,0))</f>
        <v>3.7</v>
      </c>
      <c r="K226" s="325">
        <f>INDEX(HY!320:320,MATCH(K$7,HY!$8:$8,0))</f>
        <v>3.7</v>
      </c>
      <c r="L226" s="325">
        <f>INDEX(HY!320:320,MATCH(L$7,HY!$8:$8,0))</f>
        <v>3.7</v>
      </c>
      <c r="M226" s="325">
        <f>INDEX(HY!320:320,MATCH(M$7,HY!$8:$8,0))</f>
        <v>3.7</v>
      </c>
      <c r="N226" s="325">
        <f>INDEX(HY!320:320,MATCH(N$7,HY!$8:$8,0))</f>
        <v>3.7</v>
      </c>
      <c r="O226" s="325">
        <f>INDEX(HY!320:320,MATCH(O$7,HY!$8:$8,0))</f>
        <v>3.7</v>
      </c>
      <c r="P226" s="325">
        <f>INDEX(HY!320:320,MATCH(P$7,HY!$8:$8,0))</f>
        <v>3.7</v>
      </c>
      <c r="Q226" s="325">
        <f>INDEX(HY!320:320,MATCH(Q$7,HY!$8:$8,0))</f>
        <v>3.7</v>
      </c>
    </row>
    <row r="227" spans="2:17" x14ac:dyDescent="0.2">
      <c r="B227" s="341" t="s">
        <v>187</v>
      </c>
      <c r="D227" s="341"/>
      <c r="E227" s="325"/>
      <c r="F227" s="325"/>
      <c r="G227" s="325">
        <f>INDEX(HY!321:321,MATCH(G$7,HY!$8:$8,0))</f>
        <v>0</v>
      </c>
      <c r="H227" s="325">
        <f>INDEX(HY!321:321,MATCH(H$7,HY!$8:$8,0))</f>
        <v>1.8</v>
      </c>
      <c r="I227" s="325">
        <f>INDEX(HY!321:321,MATCH(I$7,HY!$8:$8,0))</f>
        <v>0</v>
      </c>
      <c r="J227" s="325">
        <f>INDEX(HY!321:321,MATCH(J$7,HY!$8:$8,0))</f>
        <v>0</v>
      </c>
      <c r="K227" s="325">
        <f>INDEX(HY!321:321,MATCH(K$7,HY!$8:$8,0))</f>
        <v>0</v>
      </c>
      <c r="L227" s="325">
        <f>INDEX(HY!321:321,MATCH(L$7,HY!$8:$8,0))</f>
        <v>0</v>
      </c>
      <c r="M227" s="325">
        <f>INDEX(HY!321:321,MATCH(M$7,HY!$8:$8,0))</f>
        <v>0</v>
      </c>
      <c r="N227" s="325">
        <f>INDEX(HY!321:321,MATCH(N$7,HY!$8:$8,0))</f>
        <v>0</v>
      </c>
      <c r="O227" s="325">
        <f>INDEX(HY!321:321,MATCH(O$7,HY!$8:$8,0))</f>
        <v>0</v>
      </c>
      <c r="P227" s="325">
        <f>INDEX(HY!321:321,MATCH(P$7,HY!$8:$8,0))</f>
        <v>0</v>
      </c>
      <c r="Q227" s="325">
        <f>INDEX(HY!321:321,MATCH(Q$7,HY!$8:$8,0))</f>
        <v>0</v>
      </c>
    </row>
    <row r="228" spans="2:17" x14ac:dyDescent="0.2">
      <c r="B228" s="341" t="s">
        <v>180</v>
      </c>
      <c r="D228" s="341"/>
      <c r="E228" s="325"/>
      <c r="F228" s="325"/>
      <c r="G228" s="325">
        <f>INDEX(HY!322:322,MATCH(G$7,HY!$8:$8,0))</f>
        <v>0.2</v>
      </c>
      <c r="H228" s="325">
        <f>INDEX(HY!322:322,MATCH(H$7,HY!$8:$8,0))</f>
        <v>0.5</v>
      </c>
      <c r="I228" s="325">
        <f>INDEX(HY!322:322,MATCH(I$7,HY!$8:$8,0))</f>
        <v>0.6</v>
      </c>
      <c r="J228" s="325">
        <f>INDEX(HY!322:322,MATCH(J$7,HY!$8:$8,0))</f>
        <v>0.6</v>
      </c>
      <c r="K228" s="325">
        <f>INDEX(HY!322:322,MATCH(K$7,HY!$8:$8,0))</f>
        <v>0.6</v>
      </c>
      <c r="L228" s="325">
        <f>INDEX(HY!322:322,MATCH(L$7,HY!$8:$8,0))</f>
        <v>0.6</v>
      </c>
      <c r="M228" s="325">
        <f>INDEX(HY!322:322,MATCH(M$7,HY!$8:$8,0))</f>
        <v>0.6</v>
      </c>
      <c r="N228" s="325">
        <f>INDEX(HY!322:322,MATCH(N$7,HY!$8:$8,0))</f>
        <v>0.6</v>
      </c>
      <c r="O228" s="325">
        <f>INDEX(HY!322:322,MATCH(O$7,HY!$8:$8,0))</f>
        <v>0.6</v>
      </c>
      <c r="P228" s="325">
        <f>INDEX(HY!322:322,MATCH(P$7,HY!$8:$8,0))</f>
        <v>0.6</v>
      </c>
      <c r="Q228" s="325">
        <f>INDEX(HY!322:322,MATCH(Q$7,HY!$8:$8,0))</f>
        <v>0.6</v>
      </c>
    </row>
    <row r="229" spans="2:17" x14ac:dyDescent="0.2">
      <c r="B229" s="341" t="s">
        <v>188</v>
      </c>
      <c r="D229" s="341"/>
      <c r="E229" s="325"/>
      <c r="F229" s="325"/>
      <c r="G229" s="325">
        <f>INDEX(HY!323:323,MATCH(G$7,HY!$8:$8,0))</f>
        <v>0</v>
      </c>
      <c r="H229" s="325">
        <f>INDEX(HY!323:323,MATCH(H$7,HY!$8:$8,0))</f>
        <v>0</v>
      </c>
      <c r="I229" s="325">
        <f>INDEX(HY!323:323,MATCH(I$7,HY!$8:$8,0))</f>
        <v>0</v>
      </c>
      <c r="J229" s="325">
        <f>INDEX(HY!323:323,MATCH(J$7,HY!$8:$8,0))</f>
        <v>0</v>
      </c>
      <c r="K229" s="325">
        <f>INDEX(HY!323:323,MATCH(K$7,HY!$8:$8,0))</f>
        <v>0</v>
      </c>
      <c r="L229" s="325">
        <f>INDEX(HY!323:323,MATCH(L$7,HY!$8:$8,0))</f>
        <v>0</v>
      </c>
      <c r="M229" s="325">
        <f>INDEX(HY!323:323,MATCH(M$7,HY!$8:$8,0))</f>
        <v>0</v>
      </c>
      <c r="N229" s="325">
        <f>INDEX(HY!323:323,MATCH(N$7,HY!$8:$8,0))</f>
        <v>0</v>
      </c>
      <c r="O229" s="325">
        <f>INDEX(HY!323:323,MATCH(O$7,HY!$8:$8,0))</f>
        <v>0</v>
      </c>
      <c r="P229" s="325">
        <f>INDEX(HY!323:323,MATCH(P$7,HY!$8:$8,0))</f>
        <v>0</v>
      </c>
      <c r="Q229" s="325">
        <f>INDEX(HY!323:323,MATCH(Q$7,HY!$8:$8,0))</f>
        <v>0</v>
      </c>
    </row>
    <row r="230" spans="2:17" x14ac:dyDescent="0.2">
      <c r="B230" s="270" t="s">
        <v>67</v>
      </c>
      <c r="C230" s="260"/>
      <c r="D230" s="270"/>
      <c r="E230" s="254"/>
      <c r="F230" s="254"/>
      <c r="G230" s="254" t="s">
        <v>67</v>
      </c>
      <c r="H230" s="254" t="s">
        <v>67</v>
      </c>
      <c r="I230" s="254" t="s">
        <v>67</v>
      </c>
      <c r="J230" s="254" t="s">
        <v>67</v>
      </c>
      <c r="K230" s="254" t="s">
        <v>67</v>
      </c>
      <c r="L230" s="254" t="s">
        <v>67</v>
      </c>
      <c r="M230" s="254" t="s">
        <v>67</v>
      </c>
      <c r="N230" s="254" t="s">
        <v>67</v>
      </c>
      <c r="O230" s="254" t="s">
        <v>67</v>
      </c>
      <c r="P230" s="254" t="s">
        <v>67</v>
      </c>
      <c r="Q230" s="254" t="s">
        <v>67</v>
      </c>
    </row>
    <row r="231" spans="2:17" s="319" customFormat="1" x14ac:dyDescent="0.2">
      <c r="B231" s="330" t="s">
        <v>820</v>
      </c>
      <c r="C231" s="317"/>
      <c r="D231" s="330"/>
      <c r="E231" s="329"/>
      <c r="F231" s="329"/>
      <c r="G231" s="329">
        <f>INDEX(HY!325:325,MATCH(G$7,HY!$8:$8,0))</f>
        <v>14.799999999999999</v>
      </c>
      <c r="H231" s="329">
        <f>INDEX(HY!325:325,MATCH(H$7,HY!$8:$8,0))</f>
        <v>11.9</v>
      </c>
      <c r="I231" s="329">
        <f>INDEX(HY!325:325,MATCH(I$7,HY!$8:$8,0))</f>
        <v>39.200000000000003</v>
      </c>
      <c r="J231" s="329">
        <f>INDEX(HY!325:325,MATCH(J$7,HY!$8:$8,0))</f>
        <v>39.200000000000003</v>
      </c>
      <c r="K231" s="329">
        <f>INDEX(HY!325:325,MATCH(K$7,HY!$8:$8,0))</f>
        <v>39.200000000000003</v>
      </c>
      <c r="L231" s="329">
        <f>INDEX(HY!325:325,MATCH(L$7,HY!$8:$8,0))</f>
        <v>39.200000000000003</v>
      </c>
      <c r="M231" s="329">
        <f>INDEX(HY!325:325,MATCH(M$7,HY!$8:$8,0))</f>
        <v>39.200000000000003</v>
      </c>
      <c r="N231" s="329">
        <f>INDEX(HY!325:325,MATCH(N$7,HY!$8:$8,0))</f>
        <v>39.200000000000003</v>
      </c>
      <c r="O231" s="329">
        <f>INDEX(HY!325:325,MATCH(O$7,HY!$8:$8,0))</f>
        <v>39.200000000000003</v>
      </c>
      <c r="P231" s="329">
        <f>INDEX(HY!325:325,MATCH(P$7,HY!$8:$8,0))</f>
        <v>39.200000000000003</v>
      </c>
      <c r="Q231" s="329">
        <f>INDEX(HY!325:325,MATCH(Q$7,HY!$8:$8,0))</f>
        <v>39.200000000000003</v>
      </c>
    </row>
    <row r="232" spans="2:17" s="319" customFormat="1" x14ac:dyDescent="0.2">
      <c r="B232" s="328" t="s">
        <v>826</v>
      </c>
      <c r="C232" s="400"/>
      <c r="D232" s="328"/>
      <c r="E232" s="329"/>
      <c r="F232" s="329"/>
      <c r="G232" s="329">
        <f>INDEX(HY!326:326,MATCH(G$7,HY!$8:$8,0))</f>
        <v>34.1</v>
      </c>
      <c r="H232" s="329">
        <f>INDEX(HY!326:326,MATCH(H$7,HY!$8:$8,0))</f>
        <v>84.5</v>
      </c>
      <c r="I232" s="329">
        <f>INDEX(HY!326:326,MATCH(I$7,HY!$8:$8,0))</f>
        <v>80.5</v>
      </c>
      <c r="J232" s="329">
        <f>INDEX(HY!326:326,MATCH(J$7,HY!$8:$8,0))</f>
        <v>82.560432304218665</v>
      </c>
      <c r="K232" s="329">
        <f>INDEX(HY!326:326,MATCH(K$7,HY!$8:$8,0))</f>
        <v>83.93345391942961</v>
      </c>
      <c r="L232" s="329">
        <f>INDEX(HY!326:326,MATCH(L$7,HY!$8:$8,0))</f>
        <v>85.375126615401086</v>
      </c>
      <c r="M232" s="329">
        <f>INDEX(HY!326:326,MATCH(M$7,HY!$8:$8,0))</f>
        <v>86.888882946171151</v>
      </c>
      <c r="N232" s="329">
        <f>INDEX(HY!326:326,MATCH(N$7,HY!$8:$8,0))</f>
        <v>88.478327093479706</v>
      </c>
      <c r="O232" s="329">
        <f>INDEX(HY!326:326,MATCH(O$7,HY!$8:$8,0))</f>
        <v>90.147243448153688</v>
      </c>
      <c r="P232" s="329">
        <f>INDEX(HY!326:326,MATCH(P$7,HY!$8:$8,0))</f>
        <v>91.899605620561374</v>
      </c>
      <c r="Q232" s="329">
        <f>INDEX(HY!326:326,MATCH(Q$7,HY!$8:$8,0))</f>
        <v>93.73958590158945</v>
      </c>
    </row>
    <row r="233" spans="2:17" x14ac:dyDescent="0.2">
      <c r="B233" s="334"/>
      <c r="D233" s="334"/>
      <c r="E233" s="325"/>
      <c r="F233" s="325"/>
      <c r="G233" s="325"/>
      <c r="H233" s="325"/>
      <c r="I233" s="325"/>
      <c r="J233" s="325"/>
      <c r="K233" s="325"/>
      <c r="L233" s="325"/>
      <c r="M233" s="325"/>
      <c r="N233" s="325"/>
      <c r="O233" s="325"/>
      <c r="P233" s="325"/>
      <c r="Q233" s="325"/>
    </row>
    <row r="234" spans="2:17" x14ac:dyDescent="0.2">
      <c r="B234" s="326" t="s">
        <v>1216</v>
      </c>
      <c r="D234" s="326"/>
      <c r="E234" s="325"/>
      <c r="F234" s="325"/>
      <c r="G234" s="325">
        <f>INDEX(HY!328:328,MATCH(G$7,HY!$8:$8,0))</f>
        <v>67.099999999999994</v>
      </c>
      <c r="H234" s="325">
        <f>INDEX(HY!328:328,MATCH(H$7,HY!$8:$8,0))</f>
        <v>261.39999999999998</v>
      </c>
      <c r="I234" s="325">
        <f>INDEX(HY!328:328,MATCH(I$7,HY!$8:$8,0))</f>
        <v>253.8</v>
      </c>
      <c r="J234" s="325">
        <f>INDEX(HY!328:328,MATCH(J$7,HY!$8:$8,0))</f>
        <v>253.8</v>
      </c>
      <c r="K234" s="325">
        <f>INDEX(HY!328:328,MATCH(K$7,HY!$8:$8,0))</f>
        <v>253.8</v>
      </c>
      <c r="L234" s="325">
        <f>INDEX(HY!328:328,MATCH(L$7,HY!$8:$8,0))</f>
        <v>253.8</v>
      </c>
      <c r="M234" s="325">
        <f>INDEX(HY!328:328,MATCH(M$7,HY!$8:$8,0))</f>
        <v>253.8</v>
      </c>
      <c r="N234" s="325">
        <f>INDEX(HY!328:328,MATCH(N$7,HY!$8:$8,0))</f>
        <v>253.8</v>
      </c>
      <c r="O234" s="325">
        <f>INDEX(HY!328:328,MATCH(O$7,HY!$8:$8,0))</f>
        <v>253.8</v>
      </c>
      <c r="P234" s="325">
        <f>INDEX(HY!328:328,MATCH(P$7,HY!$8:$8,0))</f>
        <v>253.8</v>
      </c>
      <c r="Q234" s="325">
        <f>INDEX(HY!328:328,MATCH(Q$7,HY!$8:$8,0))</f>
        <v>253.8</v>
      </c>
    </row>
    <row r="235" spans="2:17" x14ac:dyDescent="0.2">
      <c r="B235" s="326" t="s">
        <v>192</v>
      </c>
      <c r="D235" s="326"/>
      <c r="E235" s="325"/>
      <c r="F235" s="325"/>
      <c r="G235" s="325">
        <f>INDEX(HY!329:329,MATCH(G$7,HY!$8:$8,0))</f>
        <v>7.8</v>
      </c>
      <c r="H235" s="325">
        <f>INDEX(HY!329:329,MATCH(H$7,HY!$8:$8,0))</f>
        <v>15.6</v>
      </c>
      <c r="I235" s="325">
        <f>INDEX(HY!329:329,MATCH(I$7,HY!$8:$8,0))</f>
        <v>-1.6</v>
      </c>
      <c r="J235" s="325">
        <f>INDEX(HY!329:329,MATCH(J$7,HY!$8:$8,0))</f>
        <v>3.057132768361583</v>
      </c>
      <c r="K235" s="325">
        <f>INDEX(HY!329:329,MATCH(K$7,HY!$8:$8,0))</f>
        <v>7.6356786838395507</v>
      </c>
      <c r="L235" s="325">
        <f>INDEX(HY!329:329,MATCH(L$7,HY!$8:$8,0))</f>
        <v>9.9356233980360518</v>
      </c>
      <c r="M235" s="325">
        <f>INDEX(HY!329:329,MATCH(M$7,HY!$8:$8,0))</f>
        <v>12.238307122362878</v>
      </c>
      <c r="N235" s="325">
        <f>INDEX(HY!329:329,MATCH(N$7,HY!$8:$8,0))</f>
        <v>14.57813090675949</v>
      </c>
      <c r="O235" s="325">
        <f>INDEX(HY!329:329,MATCH(O$7,HY!$8:$8,0))</f>
        <v>17.034945880375936</v>
      </c>
      <c r="P235" s="325">
        <f>INDEX(HY!329:329,MATCH(P$7,HY!$8:$8,0))</f>
        <v>19.614601602673201</v>
      </c>
      <c r="Q235" s="325">
        <f>INDEX(HY!329:329,MATCH(Q$7,HY!$8:$8,0))</f>
        <v>22.323240111085333</v>
      </c>
    </row>
    <row r="236" spans="2:17" x14ac:dyDescent="0.2">
      <c r="B236" s="326" t="s">
        <v>193</v>
      </c>
      <c r="D236" s="326"/>
      <c r="E236" s="325"/>
      <c r="F236" s="325"/>
      <c r="G236" s="325">
        <f>INDEX(HY!330:330,MATCH(G$7,HY!$8:$8,0))</f>
        <v>-71.599999999999994</v>
      </c>
      <c r="H236" s="325">
        <f>INDEX(HY!330:330,MATCH(H$7,HY!$8:$8,0))</f>
        <v>-78.8</v>
      </c>
      <c r="I236" s="325">
        <f>INDEX(HY!330:330,MATCH(I$7,HY!$8:$8,0))</f>
        <v>-119</v>
      </c>
      <c r="J236" s="325">
        <f>INDEX(HY!330:330,MATCH(J$7,HY!$8:$8,0))</f>
        <v>-124.03782423439144</v>
      </c>
      <c r="K236" s="325">
        <f>INDEX(HY!330:330,MATCH(K$7,HY!$8:$8,0))</f>
        <v>-123.0774048538003</v>
      </c>
      <c r="L236" s="325">
        <f>INDEX(HY!330:330,MATCH(L$7,HY!$8:$8,0))</f>
        <v>-116.73644439763757</v>
      </c>
      <c r="M236" s="325">
        <f>INDEX(HY!330:330,MATCH(M$7,HY!$8:$8,0))</f>
        <v>-108.32634045239294</v>
      </c>
      <c r="N236" s="325">
        <f>INDEX(HY!330:330,MATCH(N$7,HY!$8:$8,0))</f>
        <v>-98.047043741817987</v>
      </c>
      <c r="O236" s="325">
        <f>INDEX(HY!330:330,MATCH(O$7,HY!$8:$8,0))</f>
        <v>-86.721086795803942</v>
      </c>
      <c r="P236" s="325">
        <f>INDEX(HY!330:330,MATCH(P$7,HY!$8:$8,0))</f>
        <v>-74.336274800134106</v>
      </c>
      <c r="Q236" s="325">
        <f>INDEX(HY!330:330,MATCH(Q$7,HY!$8:$8,0))</f>
        <v>-60.881405114926565</v>
      </c>
    </row>
    <row r="237" spans="2:17" x14ac:dyDescent="0.2">
      <c r="B237" s="326" t="s">
        <v>194</v>
      </c>
      <c r="D237" s="326"/>
      <c r="E237" s="325"/>
      <c r="F237" s="325"/>
      <c r="G237" s="325">
        <f>INDEX(HY!331:331,MATCH(G$7,HY!$8:$8,0))</f>
        <v>0</v>
      </c>
      <c r="H237" s="325">
        <f>INDEX(HY!331:331,MATCH(H$7,HY!$8:$8,0))</f>
        <v>0</v>
      </c>
      <c r="I237" s="325">
        <f>INDEX(HY!331:331,MATCH(I$7,HY!$8:$8,0))</f>
        <v>0</v>
      </c>
      <c r="J237" s="325">
        <f>INDEX(HY!331:331,MATCH(J$7,HY!$8:$8,0))</f>
        <v>0</v>
      </c>
      <c r="K237" s="325">
        <f>INDEX(HY!331:331,MATCH(K$7,HY!$8:$8,0))</f>
        <v>0</v>
      </c>
      <c r="L237" s="325">
        <f>INDEX(HY!331:331,MATCH(L$7,HY!$8:$8,0))</f>
        <v>0</v>
      </c>
      <c r="M237" s="325">
        <f>INDEX(HY!331:331,MATCH(M$7,HY!$8:$8,0))</f>
        <v>0</v>
      </c>
      <c r="N237" s="325">
        <f>INDEX(HY!331:331,MATCH(N$7,HY!$8:$8,0))</f>
        <v>0</v>
      </c>
      <c r="O237" s="325">
        <f>INDEX(HY!331:331,MATCH(O$7,HY!$8:$8,0))</f>
        <v>0</v>
      </c>
      <c r="P237" s="325">
        <f>INDEX(HY!331:331,MATCH(P$7,HY!$8:$8,0))</f>
        <v>0</v>
      </c>
      <c r="Q237" s="325">
        <f>INDEX(HY!331:331,MATCH(Q$7,HY!$8:$8,0))</f>
        <v>0</v>
      </c>
    </row>
    <row r="238" spans="2:17" x14ac:dyDescent="0.2">
      <c r="B238" s="251" t="s">
        <v>67</v>
      </c>
      <c r="C238" s="260"/>
      <c r="D238" s="251"/>
      <c r="E238" s="254"/>
      <c r="F238" s="254"/>
      <c r="G238" s="254" t="s">
        <v>67</v>
      </c>
      <c r="H238" s="254" t="s">
        <v>67</v>
      </c>
      <c r="I238" s="254" t="s">
        <v>67</v>
      </c>
      <c r="J238" s="254" t="s">
        <v>67</v>
      </c>
      <c r="K238" s="254" t="s">
        <v>67</v>
      </c>
      <c r="L238" s="254" t="s">
        <v>67</v>
      </c>
      <c r="M238" s="254" t="s">
        <v>67</v>
      </c>
      <c r="N238" s="254" t="s">
        <v>67</v>
      </c>
      <c r="O238" s="254" t="s">
        <v>67</v>
      </c>
      <c r="P238" s="254" t="s">
        <v>67</v>
      </c>
      <c r="Q238" s="254" t="s">
        <v>67</v>
      </c>
    </row>
    <row r="239" spans="2:17" s="319" customFormat="1" x14ac:dyDescent="0.2">
      <c r="B239" s="328" t="s">
        <v>1217</v>
      </c>
      <c r="C239" s="317"/>
      <c r="D239" s="328"/>
      <c r="E239" s="329"/>
      <c r="F239" s="329"/>
      <c r="G239" s="329">
        <f>INDEX(HY!333:333,MATCH(G$7,HY!$8:$8,0))</f>
        <v>3.2999999999999972</v>
      </c>
      <c r="H239" s="329">
        <f>INDEX(HY!333:333,MATCH(H$7,HY!$8:$8,0))</f>
        <v>198.2</v>
      </c>
      <c r="I239" s="329">
        <f>INDEX(HY!333:333,MATCH(I$7,HY!$8:$8,0))</f>
        <v>133.20000000000002</v>
      </c>
      <c r="J239" s="329">
        <f>INDEX(HY!333:333,MATCH(J$7,HY!$8:$8,0))</f>
        <v>132.81930853397012</v>
      </c>
      <c r="K239" s="329">
        <f>INDEX(HY!333:333,MATCH(K$7,HY!$8:$8,0))</f>
        <v>138.35827383003925</v>
      </c>
      <c r="L239" s="329">
        <f>INDEX(HY!333:333,MATCH(L$7,HY!$8:$8,0))</f>
        <v>146.9991790003985</v>
      </c>
      <c r="M239" s="329">
        <f>INDEX(HY!333:333,MATCH(M$7,HY!$8:$8,0))</f>
        <v>157.71196666996994</v>
      </c>
      <c r="N239" s="329">
        <f>INDEX(HY!333:333,MATCH(N$7,HY!$8:$8,0))</f>
        <v>170.33108716494152</v>
      </c>
      <c r="O239" s="329">
        <f>INDEX(HY!333:333,MATCH(O$7,HY!$8:$8,0))</f>
        <v>184.11385908457197</v>
      </c>
      <c r="P239" s="329">
        <f>INDEX(HY!333:333,MATCH(P$7,HY!$8:$8,0))</f>
        <v>199.0783268025391</v>
      </c>
      <c r="Q239" s="329">
        <f>INDEX(HY!333:333,MATCH(Q$7,HY!$8:$8,0))</f>
        <v>215.24183499615879</v>
      </c>
    </row>
    <row r="240" spans="2:17" s="319" customFormat="1" x14ac:dyDescent="0.2">
      <c r="C240" s="317"/>
      <c r="E240" s="343"/>
      <c r="F240" s="343"/>
      <c r="G240" s="343"/>
      <c r="H240" s="343"/>
      <c r="I240" s="343"/>
      <c r="J240" s="343"/>
      <c r="K240" s="343"/>
      <c r="L240" s="343"/>
      <c r="M240" s="343"/>
      <c r="N240" s="343"/>
      <c r="O240" s="343"/>
      <c r="P240" s="343"/>
      <c r="Q240" s="343"/>
    </row>
    <row r="241" spans="1:17" x14ac:dyDescent="0.2">
      <c r="B241" s="344" t="s">
        <v>1218</v>
      </c>
      <c r="C241" s="339"/>
      <c r="D241" s="338"/>
      <c r="E241" s="340"/>
      <c r="F241" s="340"/>
      <c r="G241" s="340">
        <f t="shared" ref="G241:Q241" si="47">G210-G232-G239</f>
        <v>0</v>
      </c>
      <c r="H241" s="340">
        <f t="shared" si="47"/>
        <v>0</v>
      </c>
      <c r="I241" s="340">
        <f t="shared" si="47"/>
        <v>0</v>
      </c>
      <c r="J241" s="340">
        <f t="shared" si="47"/>
        <v>0</v>
      </c>
      <c r="K241" s="340">
        <f t="shared" si="47"/>
        <v>0</v>
      </c>
      <c r="L241" s="340">
        <f t="shared" si="47"/>
        <v>0</v>
      </c>
      <c r="M241" s="340">
        <f t="shared" si="47"/>
        <v>0</v>
      </c>
      <c r="N241" s="340">
        <f t="shared" si="47"/>
        <v>0</v>
      </c>
      <c r="O241" s="340">
        <f t="shared" si="47"/>
        <v>0</v>
      </c>
      <c r="P241" s="340">
        <f t="shared" si="47"/>
        <v>0</v>
      </c>
      <c r="Q241" s="340">
        <f t="shared" si="47"/>
        <v>0</v>
      </c>
    </row>
    <row r="242" spans="1:17" x14ac:dyDescent="0.2">
      <c r="B242" s="344" t="s">
        <v>1219</v>
      </c>
      <c r="C242" s="339"/>
      <c r="D242" s="344"/>
      <c r="E242" s="340"/>
      <c r="F242" s="340"/>
      <c r="G242" s="340">
        <f t="shared" ref="G242:Q242" si="48">G199-SUM(G194:G198)</f>
        <v>0</v>
      </c>
      <c r="H242" s="340">
        <f t="shared" si="48"/>
        <v>0</v>
      </c>
      <c r="I242" s="340">
        <f t="shared" si="48"/>
        <v>0</v>
      </c>
      <c r="J242" s="340">
        <f t="shared" si="48"/>
        <v>0</v>
      </c>
      <c r="K242" s="340">
        <f t="shared" si="48"/>
        <v>0</v>
      </c>
      <c r="L242" s="340">
        <f t="shared" si="48"/>
        <v>0</v>
      </c>
      <c r="M242" s="340">
        <f t="shared" si="48"/>
        <v>0</v>
      </c>
      <c r="N242" s="340">
        <f t="shared" si="48"/>
        <v>0</v>
      </c>
      <c r="O242" s="340">
        <f t="shared" si="48"/>
        <v>0</v>
      </c>
      <c r="P242" s="340">
        <f t="shared" si="48"/>
        <v>0</v>
      </c>
      <c r="Q242" s="340">
        <f t="shared" si="48"/>
        <v>0</v>
      </c>
    </row>
    <row r="243" spans="1:17" x14ac:dyDescent="0.2">
      <c r="B243" s="344" t="s">
        <v>1220</v>
      </c>
      <c r="C243" s="339"/>
      <c r="D243" s="344"/>
      <c r="E243" s="340"/>
      <c r="F243" s="340"/>
      <c r="G243" s="340">
        <f t="shared" ref="G243:Q243" si="49">G209-SUM(G201:G208)</f>
        <v>0</v>
      </c>
      <c r="H243" s="340">
        <f t="shared" si="49"/>
        <v>0</v>
      </c>
      <c r="I243" s="340">
        <f t="shared" si="49"/>
        <v>0</v>
      </c>
      <c r="J243" s="340">
        <f t="shared" si="49"/>
        <v>0</v>
      </c>
      <c r="K243" s="340">
        <f t="shared" si="49"/>
        <v>0</v>
      </c>
      <c r="L243" s="340">
        <f t="shared" si="49"/>
        <v>0</v>
      </c>
      <c r="M243" s="340">
        <f t="shared" si="49"/>
        <v>0</v>
      </c>
      <c r="N243" s="340">
        <f t="shared" si="49"/>
        <v>0</v>
      </c>
      <c r="O243" s="340">
        <f t="shared" si="49"/>
        <v>0</v>
      </c>
      <c r="P243" s="340">
        <f t="shared" si="49"/>
        <v>0</v>
      </c>
      <c r="Q243" s="340">
        <f t="shared" si="49"/>
        <v>0</v>
      </c>
    </row>
    <row r="244" spans="1:17" x14ac:dyDescent="0.2">
      <c r="B244" s="344" t="s">
        <v>1221</v>
      </c>
      <c r="C244" s="339"/>
      <c r="D244" s="344"/>
      <c r="E244" s="340"/>
      <c r="F244" s="340"/>
      <c r="G244" s="340">
        <f t="shared" ref="G244:Q244" si="50">G222-SUM(G213:G221)</f>
        <v>0</v>
      </c>
      <c r="H244" s="340">
        <f t="shared" si="50"/>
        <v>0</v>
      </c>
      <c r="I244" s="340">
        <f t="shared" si="50"/>
        <v>0</v>
      </c>
      <c r="J244" s="340">
        <f t="shared" si="50"/>
        <v>0</v>
      </c>
      <c r="K244" s="340">
        <f t="shared" si="50"/>
        <v>0</v>
      </c>
      <c r="L244" s="340">
        <f t="shared" si="50"/>
        <v>0</v>
      </c>
      <c r="M244" s="340">
        <f t="shared" si="50"/>
        <v>0</v>
      </c>
      <c r="N244" s="340">
        <f t="shared" si="50"/>
        <v>0</v>
      </c>
      <c r="O244" s="340">
        <f t="shared" si="50"/>
        <v>0</v>
      </c>
      <c r="P244" s="340">
        <f t="shared" si="50"/>
        <v>0</v>
      </c>
      <c r="Q244" s="340">
        <f t="shared" si="50"/>
        <v>0</v>
      </c>
    </row>
    <row r="245" spans="1:17" x14ac:dyDescent="0.2">
      <c r="B245" s="344" t="s">
        <v>1222</v>
      </c>
      <c r="C245" s="339"/>
      <c r="D245" s="344"/>
      <c r="E245" s="340"/>
      <c r="F245" s="340"/>
      <c r="G245" s="340">
        <f t="shared" ref="G245:Q245" si="51">G231-SUM(G224:G230)</f>
        <v>0</v>
      </c>
      <c r="H245" s="340">
        <f t="shared" si="51"/>
        <v>0</v>
      </c>
      <c r="I245" s="340">
        <f t="shared" si="51"/>
        <v>0</v>
      </c>
      <c r="J245" s="340">
        <f t="shared" si="51"/>
        <v>0</v>
      </c>
      <c r="K245" s="340">
        <f t="shared" si="51"/>
        <v>0</v>
      </c>
      <c r="L245" s="340">
        <f t="shared" si="51"/>
        <v>0</v>
      </c>
      <c r="M245" s="340">
        <f t="shared" si="51"/>
        <v>0</v>
      </c>
      <c r="N245" s="340">
        <f t="shared" si="51"/>
        <v>0</v>
      </c>
      <c r="O245" s="340">
        <f t="shared" si="51"/>
        <v>0</v>
      </c>
      <c r="P245" s="340">
        <f t="shared" si="51"/>
        <v>0</v>
      </c>
      <c r="Q245" s="340">
        <f t="shared" si="51"/>
        <v>0</v>
      </c>
    </row>
    <row r="246" spans="1:17" x14ac:dyDescent="0.2">
      <c r="B246" s="344" t="s">
        <v>422</v>
      </c>
      <c r="C246" s="339"/>
      <c r="D246" s="344"/>
      <c r="E246" s="340"/>
      <c r="F246" s="340"/>
      <c r="G246" s="340">
        <f t="shared" ref="G246:Q246" si="52">G239-SUM(G234:G238)</f>
        <v>0</v>
      </c>
      <c r="H246" s="340">
        <f t="shared" si="52"/>
        <v>0</v>
      </c>
      <c r="I246" s="340">
        <f t="shared" si="52"/>
        <v>0</v>
      </c>
      <c r="J246" s="340">
        <f t="shared" si="52"/>
        <v>0</v>
      </c>
      <c r="K246" s="340">
        <f t="shared" si="52"/>
        <v>0</v>
      </c>
      <c r="L246" s="340">
        <f t="shared" si="52"/>
        <v>0</v>
      </c>
      <c r="M246" s="340">
        <f t="shared" si="52"/>
        <v>0</v>
      </c>
      <c r="N246" s="340">
        <f t="shared" si="52"/>
        <v>0</v>
      </c>
      <c r="O246" s="340">
        <f t="shared" si="52"/>
        <v>0</v>
      </c>
      <c r="P246" s="340">
        <f t="shared" si="52"/>
        <v>0</v>
      </c>
      <c r="Q246" s="340">
        <f t="shared" si="52"/>
        <v>0</v>
      </c>
    </row>
    <row r="247" spans="1:17" x14ac:dyDescent="0.2">
      <c r="B247" s="344"/>
      <c r="C247" s="339"/>
      <c r="D247" s="344"/>
      <c r="E247" s="340"/>
      <c r="F247" s="340"/>
      <c r="G247" s="340"/>
      <c r="H247" s="340"/>
      <c r="I247" s="340"/>
      <c r="J247" s="340"/>
      <c r="K247" s="340"/>
      <c r="L247" s="340"/>
      <c r="M247" s="340"/>
      <c r="N247" s="340"/>
      <c r="O247" s="340"/>
      <c r="P247" s="340"/>
      <c r="Q247" s="340"/>
    </row>
    <row r="248" spans="1:17" s="503" customFormat="1" x14ac:dyDescent="0.2">
      <c r="A248" s="504" t="s">
        <v>7</v>
      </c>
      <c r="B248" s="500" t="s">
        <v>347</v>
      </c>
      <c r="C248" s="501"/>
      <c r="D248" s="500"/>
      <c r="E248" s="502"/>
      <c r="F248" s="502"/>
      <c r="G248" s="502"/>
      <c r="H248" s="502"/>
      <c r="I248" s="502"/>
      <c r="J248" s="502"/>
      <c r="K248" s="502"/>
      <c r="L248" s="502"/>
      <c r="M248" s="502"/>
      <c r="N248" s="502"/>
      <c r="O248" s="502"/>
      <c r="P248" s="502"/>
      <c r="Q248" s="502"/>
    </row>
    <row r="249" spans="1:17" s="324" customFormat="1" x14ac:dyDescent="0.2">
      <c r="B249" s="331"/>
      <c r="C249" s="332"/>
      <c r="D249" s="331"/>
      <c r="E249" s="333"/>
      <c r="F249" s="333"/>
      <c r="G249" s="333"/>
      <c r="H249" s="333"/>
      <c r="I249" s="333"/>
      <c r="J249" s="333"/>
      <c r="K249" s="333"/>
      <c r="L249" s="333"/>
      <c r="M249" s="333"/>
      <c r="N249" s="333"/>
      <c r="O249" s="333"/>
      <c r="P249" s="333"/>
      <c r="Q249" s="333"/>
    </row>
    <row r="250" spans="1:17" s="324" customFormat="1" x14ac:dyDescent="0.2">
      <c r="B250" s="328" t="s">
        <v>1223</v>
      </c>
      <c r="C250" s="332"/>
      <c r="D250" s="331"/>
      <c r="E250" s="333"/>
      <c r="F250" s="333"/>
      <c r="G250" s="333"/>
      <c r="H250" s="333"/>
      <c r="I250" s="333"/>
      <c r="J250" s="333"/>
      <c r="K250" s="333"/>
      <c r="L250" s="333"/>
      <c r="M250" s="333"/>
      <c r="N250" s="333"/>
      <c r="O250" s="333"/>
      <c r="P250" s="333"/>
      <c r="Q250" s="333"/>
    </row>
    <row r="251" spans="1:17" s="324" customFormat="1" x14ac:dyDescent="0.2">
      <c r="B251" s="218"/>
      <c r="D251" s="460" t="e" vm="2">
        <f t="array" ref="D251">_FV(B251,"Market cap",TRUE)</f>
        <v>#VALUE!</v>
      </c>
      <c r="F251" s="461" t="e" vm="2">
        <f t="array" ref="F251">_FV(B251,"Market cap",TRUE)/1000000</f>
        <v>#VALUE!</v>
      </c>
      <c r="G251" s="333"/>
      <c r="H251" s="333"/>
      <c r="I251" s="333"/>
      <c r="J251" s="333"/>
      <c r="K251" s="333"/>
      <c r="L251" s="333"/>
      <c r="M251" s="333"/>
      <c r="N251" s="333"/>
      <c r="O251" s="333"/>
      <c r="P251" s="333"/>
      <c r="Q251" s="333"/>
    </row>
    <row r="252" spans="1:17" s="324" customFormat="1" x14ac:dyDescent="0.2">
      <c r="B252" s="218"/>
      <c r="C252" s="332"/>
      <c r="D252" s="331"/>
      <c r="F252" s="462" t="e" vm="3">
        <f t="array" ref="F252">_FV(B251,"P/E",TRUE)</f>
        <v>#VALUE!</v>
      </c>
      <c r="G252" s="333"/>
      <c r="H252" s="333"/>
      <c r="I252" s="333"/>
      <c r="J252" s="333"/>
      <c r="K252" s="333"/>
      <c r="L252" s="333"/>
      <c r="M252" s="333"/>
      <c r="N252" s="333"/>
      <c r="O252" s="333"/>
      <c r="P252" s="333"/>
      <c r="Q252" s="333"/>
    </row>
    <row r="253" spans="1:17" s="324" customFormat="1" x14ac:dyDescent="0.2">
      <c r="B253" s="218"/>
      <c r="C253" s="332"/>
      <c r="D253" s="331"/>
      <c r="F253" s="463" t="e" vm="4">
        <f t="array" ref="F253">_FV(B251,"Shares outstanding",TRUE)</f>
        <v>#VALUE!</v>
      </c>
      <c r="G253" s="333"/>
      <c r="H253" s="333"/>
      <c r="I253" s="333"/>
      <c r="J253" s="333"/>
      <c r="K253" s="333"/>
      <c r="L253" s="333"/>
      <c r="M253" s="333"/>
      <c r="N253" s="333"/>
      <c r="O253" s="333"/>
      <c r="P253" s="333"/>
      <c r="Q253" s="333"/>
    </row>
    <row r="254" spans="1:17" s="324" customFormat="1" x14ac:dyDescent="0.2">
      <c r="B254" s="218"/>
      <c r="C254" s="332"/>
      <c r="D254" s="331"/>
      <c r="F254" s="464" t="e" vm="5">
        <f t="array" ref="F254">_FV(B251,"Price")</f>
        <v>#VALUE!</v>
      </c>
      <c r="G254" s="333"/>
      <c r="H254" s="333"/>
      <c r="I254" s="333"/>
      <c r="J254" s="333"/>
      <c r="K254" s="333"/>
      <c r="L254" s="333"/>
      <c r="M254" s="333"/>
      <c r="N254" s="333"/>
      <c r="O254" s="333"/>
      <c r="P254" s="333"/>
      <c r="Q254" s="333"/>
    </row>
    <row r="255" spans="1:17" s="324" customFormat="1" x14ac:dyDescent="0.2">
      <c r="B255" s="218"/>
      <c r="C255" s="332"/>
      <c r="D255" s="331"/>
      <c r="F255" s="464" t="e" vm="6">
        <f>F253*F254/1000000</f>
        <v>#VALUE!</v>
      </c>
      <c r="G255" s="333"/>
      <c r="H255" s="333"/>
      <c r="I255" s="333"/>
      <c r="J255" s="333"/>
      <c r="K255" s="333"/>
      <c r="L255" s="333"/>
      <c r="M255" s="333"/>
      <c r="N255" s="333"/>
      <c r="O255" s="333"/>
      <c r="P255" s="333"/>
      <c r="Q255" s="333"/>
    </row>
    <row r="256" spans="1:17" s="324" customFormat="1" x14ac:dyDescent="0.2">
      <c r="B256" s="331"/>
      <c r="C256" s="332"/>
      <c r="D256" s="331"/>
      <c r="F256" s="333"/>
      <c r="G256" s="333"/>
      <c r="H256" s="333"/>
      <c r="I256" s="333"/>
      <c r="J256" s="333"/>
      <c r="K256" s="333"/>
      <c r="L256" s="333"/>
      <c r="M256" s="333"/>
      <c r="N256" s="333"/>
      <c r="O256" s="333"/>
      <c r="P256" s="333"/>
      <c r="Q256" s="333"/>
    </row>
    <row r="257" spans="2:17" s="324" customFormat="1" x14ac:dyDescent="0.2">
      <c r="B257" s="328" t="s">
        <v>1224</v>
      </c>
      <c r="C257" s="332"/>
      <c r="D257" s="331"/>
      <c r="F257" s="333"/>
      <c r="G257" s="333"/>
      <c r="H257" s="333"/>
      <c r="I257" s="333"/>
      <c r="J257" s="333"/>
      <c r="K257" s="333"/>
      <c r="L257" s="333"/>
      <c r="M257" s="333"/>
      <c r="N257" s="333"/>
      <c r="O257" s="333"/>
      <c r="P257" s="333"/>
      <c r="Q257" s="333"/>
    </row>
    <row r="258" spans="2:17" s="324" customFormat="1" x14ac:dyDescent="0.2">
      <c r="B258" s="326" t="s">
        <v>1225</v>
      </c>
      <c r="C258" s="332"/>
      <c r="D258" s="331"/>
      <c r="E258" s="371" t="s">
        <v>1226</v>
      </c>
      <c r="F258" s="325" t="str">
        <f t="array" ref="F258">_xll.VADetail($E258,$B$258)</f>
        <v>#NotAvailable</v>
      </c>
      <c r="G258" s="325"/>
      <c r="H258" s="325"/>
      <c r="I258" s="325"/>
      <c r="J258" s="325"/>
      <c r="K258" s="325"/>
      <c r="L258" s="325"/>
      <c r="M258" s="325"/>
      <c r="N258" s="325"/>
      <c r="O258" s="325"/>
      <c r="P258" s="325"/>
      <c r="Q258" s="325"/>
    </row>
    <row r="259" spans="2:17" s="324" customFormat="1" x14ac:dyDescent="0.2">
      <c r="B259" s="326" t="s">
        <v>1227</v>
      </c>
      <c r="C259" s="332"/>
      <c r="D259" s="331"/>
      <c r="E259" s="371" t="s">
        <v>1228</v>
      </c>
      <c r="F259" s="325" t="str">
        <f t="array" ref="F259">_xll.VADetail($E259,$B$258)</f>
        <v>#NotAvailable</v>
      </c>
      <c r="G259" s="325"/>
      <c r="H259" s="325"/>
      <c r="I259" s="325"/>
      <c r="J259" s="325"/>
      <c r="K259" s="325"/>
      <c r="L259" s="325"/>
      <c r="M259" s="325"/>
      <c r="N259" s="325"/>
      <c r="O259" s="325"/>
      <c r="P259" s="325"/>
      <c r="Q259" s="325"/>
    </row>
    <row r="260" spans="2:17" s="324" customFormat="1" x14ac:dyDescent="0.2">
      <c r="B260" s="326" t="s">
        <v>1229</v>
      </c>
      <c r="C260" s="332"/>
      <c r="D260" s="331"/>
      <c r="E260" s="371" t="s">
        <v>1230</v>
      </c>
      <c r="F260" s="325" t="str">
        <f t="array" ref="F260">_xll.VADetail($E260,$B$258)</f>
        <v>#NotAvailable</v>
      </c>
      <c r="G260" s="325"/>
      <c r="H260" s="325"/>
      <c r="I260" s="325"/>
      <c r="J260" s="325"/>
      <c r="K260" s="325"/>
      <c r="L260" s="325"/>
      <c r="M260" s="325"/>
      <c r="N260" s="325"/>
      <c r="O260" s="325"/>
      <c r="P260" s="325"/>
      <c r="Q260" s="325"/>
    </row>
    <row r="261" spans="2:17" s="324" customFormat="1" x14ac:dyDescent="0.2">
      <c r="B261" s="326" t="s">
        <v>1231</v>
      </c>
      <c r="C261" s="332"/>
      <c r="D261" s="331"/>
      <c r="E261" s="371" t="s">
        <v>1232</v>
      </c>
      <c r="F261" s="458" t="str">
        <f>_xll.VAData($B$258,F$4,$E261,$B$261,$B$260,"IMPL",$B$259,"","Abs")</f>
        <v>#NotAvailable</v>
      </c>
      <c r="G261" s="458" t="str">
        <f>_xll.VAData($B$258,G$4,$E261,$B$261,$B$260,"IMPL",$B$259,"","Abs")</f>
        <v>#NotAvailable</v>
      </c>
      <c r="H261" s="458" t="str">
        <f>_xll.VAData($B$258,H$4,$E261,$B$261,$B$260,"IMPL",$B$259,"","Abs")</f>
        <v>#NotAvailable</v>
      </c>
      <c r="I261" s="458" t="str">
        <f>_xll.VAData($B$258,I$4,$E261,$B$261,$B$260,"IMPL",$B$259,"","Abs")</f>
        <v>#NotAvailable</v>
      </c>
      <c r="J261" s="458" t="str">
        <f>_xll.VAData($B$258,J$4,$E261,$B$261,$B$260,"IMPL",$B$259,"","Abs")</f>
        <v>#NotAvailable</v>
      </c>
      <c r="K261" s="458" t="str">
        <f>_xll.VAData($B$258,K$4,$E261,$B$261,$B$260,"IMPL",$B$259,"","Abs")</f>
        <v>#NotAvailable</v>
      </c>
      <c r="L261" s="458" t="str">
        <f>_xll.VAData($B$258,L$4,$E261,$B$261,$B$260,"IMPL",$B$259,"","Abs")</f>
        <v>#NotAvailable</v>
      </c>
      <c r="M261" s="458" t="str">
        <f>_xll.VAData($B$258,M$4,$E261,$B$261,$B$260,"IMPL",$B$259,"","Abs")</f>
        <v>#NotAvailable</v>
      </c>
      <c r="N261" s="458" t="str">
        <f>_xll.VAData($B$258,N$4,$E261,$B$261,$B$260,"IMPL",$B$259,"","Abs")</f>
        <v>#NotAvailable</v>
      </c>
      <c r="O261" s="458" t="str">
        <f>_xll.VAData($B$258,O$4,$E261,$B$261,$B$260,"IMPL",$B$259,"","Abs")</f>
        <v>#NotAvailable</v>
      </c>
      <c r="P261" s="458" t="str">
        <f>_xll.VAData($B$258,P$4,$E261,$B$261,$B$260,"IMPL",$B$259,"","Abs")</f>
        <v>#NotAvailable</v>
      </c>
      <c r="Q261" s="458" t="str">
        <f>_xll.VAData($B$258,Q$4,$E261,$B$261,$B$260,"IMPL",$B$259,"","Abs")</f>
        <v>#NotAvailable</v>
      </c>
    </row>
    <row r="262" spans="2:17" s="324" customFormat="1" x14ac:dyDescent="0.2">
      <c r="B262" s="326" t="s">
        <v>1233</v>
      </c>
      <c r="C262" s="332"/>
      <c r="D262" s="331"/>
      <c r="E262" s="371" t="s">
        <v>1234</v>
      </c>
      <c r="F262" s="458" t="str">
        <f>_xll.VAData($B$258,F$4,$E262,$B$261,$B$260,"IMPL",$B$259,"","Abs")</f>
        <v>#NotAvailable</v>
      </c>
      <c r="G262" s="458" t="str">
        <f>_xll.VAData($B$258,G$4,$E262,$B$261,$B$260,"IMPL",$B$259,"","Abs")</f>
        <v>#NotAvailable</v>
      </c>
      <c r="H262" s="458" t="str">
        <f>_xll.VAData($B$258,H$4,$E262,$B$261,$B$260,"IMPL",$B$259,"","Abs")</f>
        <v>#NotAvailable</v>
      </c>
      <c r="I262" s="458" t="str">
        <f>_xll.VAData($B$258,I$4,$E262,$B$261,$B$260,"IMPL",$B$259,"","Abs")</f>
        <v>#NotAvailable</v>
      </c>
      <c r="J262" s="458" t="str">
        <f>_xll.VAData($B$258,J$4,$E262,$B$261,$B$260,"IMPL",$B$259,"","Abs")</f>
        <v>#NotAvailable</v>
      </c>
      <c r="K262" s="458" t="str">
        <f>_xll.VAData($B$258,K$4,$E262,$B$261,$B$260,"IMPL",$B$259,"","Abs")</f>
        <v>#NotAvailable</v>
      </c>
      <c r="L262" s="458" t="str">
        <f>_xll.VAData($B$258,L$4,$E262,$B$261,$B$260,"IMPL",$B$259,"","Abs")</f>
        <v>#NotAvailable</v>
      </c>
      <c r="M262" s="458" t="str">
        <f>_xll.VAData($B$258,M$4,$E262,$B$261,$B$260,"IMPL",$B$259,"","Abs")</f>
        <v>#NotAvailable</v>
      </c>
      <c r="N262" s="458" t="str">
        <f>_xll.VAData($B$258,N$4,$E262,$B$261,$B$260,"IMPL",$B$259,"","Abs")</f>
        <v>#NotAvailable</v>
      </c>
      <c r="O262" s="458" t="str">
        <f>_xll.VAData($B$258,O$4,$E262,$B$261,$B$260,"IMPL",$B$259,"","Abs")</f>
        <v>#NotAvailable</v>
      </c>
      <c r="P262" s="458" t="str">
        <f>_xll.VAData($B$258,P$4,$E262,$B$261,$B$260,"IMPL",$B$259,"","Abs")</f>
        <v>#NotAvailable</v>
      </c>
      <c r="Q262" s="458" t="str">
        <f>_xll.VAData($B$258,Q$4,$E262,$B$261,$B$260,"IMPL",$B$259,"","Abs")</f>
        <v>#NotAvailable</v>
      </c>
    </row>
    <row r="263" spans="2:17" s="324" customFormat="1" x14ac:dyDescent="0.2">
      <c r="B263" s="326"/>
      <c r="C263" s="332"/>
      <c r="D263" s="331"/>
      <c r="E263" s="371" t="s">
        <v>1235</v>
      </c>
      <c r="F263" s="458" t="str">
        <f>_xll.VAData($B$258,F$4,$E263,$B$261,$B$260,"IMPL",$B$259,"","Abs")</f>
        <v>#NotAvailable</v>
      </c>
      <c r="G263" s="458" t="str">
        <f>_xll.VAData($B$258,G$4,$E263,$B$261,$B$260,"IMPL",$B$259,"","Abs")</f>
        <v>#NotAvailable</v>
      </c>
      <c r="H263" s="458" t="str">
        <f>_xll.VAData($B$258,H$4,$E263,$B$261,$B$260,"IMPL",$B$259,"","Abs")</f>
        <v>#NotAvailable</v>
      </c>
      <c r="I263" s="458" t="str">
        <f>_xll.VAData($B$258,I$4,$E263,$B$261,$B$260,"IMPL",$B$259,"","Abs")</f>
        <v>#NotAvailable</v>
      </c>
      <c r="J263" s="458" t="str">
        <f>_xll.VAData($B$258,J$4,$E263,$B$261,$B$260,"IMPL",$B$259,"","Abs")</f>
        <v>#NotAvailable</v>
      </c>
      <c r="K263" s="458" t="str">
        <f>_xll.VAData($B$258,K$4,$E263,$B$261,$B$260,"IMPL",$B$259,"","Abs")</f>
        <v>#NotAvailable</v>
      </c>
      <c r="L263" s="458" t="str">
        <f>_xll.VAData($B$258,L$4,$E263,$B$261,$B$260,"IMPL",$B$259,"","Abs")</f>
        <v>#NotAvailable</v>
      </c>
      <c r="M263" s="458" t="str">
        <f>_xll.VAData($B$258,M$4,$E263,$B$261,$B$260,"IMPL",$B$259,"","Abs")</f>
        <v>#NotAvailable</v>
      </c>
      <c r="N263" s="458" t="str">
        <f>_xll.VAData($B$258,N$4,$E263,$B$261,$B$260,"IMPL",$B$259,"","Abs")</f>
        <v>#NotAvailable</v>
      </c>
      <c r="O263" s="458" t="str">
        <f>_xll.VAData($B$258,O$4,$E263,$B$261,$B$260,"IMPL",$B$259,"","Abs")</f>
        <v>#NotAvailable</v>
      </c>
      <c r="P263" s="458" t="str">
        <f>_xll.VAData($B$258,P$4,$E263,$B$261,$B$260,"IMPL",$B$259,"","Abs")</f>
        <v>#NotAvailable</v>
      </c>
      <c r="Q263" s="458" t="str">
        <f>_xll.VAData($B$258,Q$4,$E263,$B$261,$B$260,"IMPL",$B$259,"","Abs")</f>
        <v>#NotAvailable</v>
      </c>
    </row>
    <row r="264" spans="2:17" s="324" customFormat="1" x14ac:dyDescent="0.2">
      <c r="B264" s="326"/>
      <c r="C264" s="332"/>
      <c r="D264" s="331"/>
      <c r="F264" s="325"/>
      <c r="G264" s="325"/>
      <c r="H264" s="325"/>
      <c r="I264" s="325"/>
      <c r="J264" s="325"/>
      <c r="K264" s="325"/>
      <c r="L264" s="325"/>
      <c r="M264" s="325"/>
      <c r="N264" s="325"/>
      <c r="O264" s="325"/>
      <c r="P264" s="325"/>
      <c r="Q264" s="325"/>
    </row>
    <row r="265" spans="2:17" s="324" customFormat="1" x14ac:dyDescent="0.2">
      <c r="B265" s="471" t="s">
        <v>1236</v>
      </c>
      <c r="C265" s="332"/>
      <c r="D265" s="331"/>
      <c r="F265" s="325"/>
      <c r="G265" s="325"/>
      <c r="H265" s="325"/>
      <c r="I265" s="325"/>
      <c r="J265" s="325"/>
      <c r="K265" s="325"/>
      <c r="L265" s="325"/>
      <c r="M265" s="325"/>
      <c r="N265" s="325"/>
      <c r="O265" s="325"/>
      <c r="P265" s="325"/>
      <c r="Q265" s="325"/>
    </row>
    <row r="266" spans="2:17" s="324" customFormat="1" x14ac:dyDescent="0.2">
      <c r="B266" s="472" t="s">
        <v>75</v>
      </c>
      <c r="C266" s="332"/>
      <c r="D266" s="331"/>
      <c r="E266" s="371" t="s">
        <v>1237</v>
      </c>
      <c r="F266" s="325" t="str">
        <f t="array" ref="F266">_xll.VAData($B$258,F$4,$E266,$B$261,$B$262, "","","")</f>
        <v>#NotAvailable</v>
      </c>
      <c r="G266" s="325" t="str">
        <f t="array" ref="G266">_xll.VAData($B$258,G$4,$E266,$B$261,$B$262, "","","")</f>
        <v>#NotAvailable</v>
      </c>
      <c r="H266" s="325" t="str">
        <f t="array" ref="H266">_xll.VAData($B$258,H$4,$E266,$B$261,$B$262, "","","")</f>
        <v>#NotAvailable</v>
      </c>
      <c r="I266" s="325" t="str">
        <f t="array" ref="I266">_xll.VAData($B$258,I$4,$E266,$B$261,$B$262, "","","")</f>
        <v>#NotAvailable</v>
      </c>
      <c r="J266" s="325" t="str">
        <f t="array" ref="J266">_xll.VAData($B$258,J$4,$E266,$B$261,$B$262, "","","")</f>
        <v>#NotAvailable</v>
      </c>
      <c r="K266" s="325" t="str">
        <f t="array" ref="K266">_xll.VAData($B$258,K$4,$E266,$B$261,$B$262, "","","")</f>
        <v>#NotAvailable</v>
      </c>
      <c r="L266" s="325" t="str">
        <f t="array" ref="L266">_xll.VAData($B$258,L$4,$E266,$B$261,$B$262, "","","")</f>
        <v>#NotAvailable</v>
      </c>
      <c r="M266" s="325" t="str">
        <f t="array" ref="M266">_xll.VAData($B$258,M$4,$E266,$B$261,$B$262, "","","")</f>
        <v>#NotAvailable</v>
      </c>
      <c r="N266" s="325" t="str">
        <f t="array" ref="N266">_xll.VAData($B$258,N$4,$E266,$B$261,$B$262, "","","")</f>
        <v>#NotAvailable</v>
      </c>
      <c r="O266" s="325" t="str">
        <f t="array" ref="O266">_xll.VAData($B$258,O$4,$E266,$B$261,$B$262, "","","")</f>
        <v>#NotAvailable</v>
      </c>
      <c r="P266" s="325" t="str">
        <f t="array" ref="P266">_xll.VAData($B$258,P$4,$E266,$B$261,$B$262, "","","")</f>
        <v>#NotAvailable</v>
      </c>
      <c r="Q266" s="325" t="str">
        <f t="array" ref="Q266">_xll.VAData($B$258,Q$4,$E266,$B$261,$B$262, "","","")</f>
        <v>#NotAvailable</v>
      </c>
    </row>
    <row r="267" spans="2:17" s="324" customFormat="1" x14ac:dyDescent="0.2">
      <c r="B267" s="472" t="s">
        <v>1238</v>
      </c>
      <c r="C267" s="332"/>
      <c r="D267" s="331"/>
      <c r="E267" s="371" t="s">
        <v>1239</v>
      </c>
      <c r="F267" s="325" t="str">
        <f t="array" ref="F267">_xll.VAData($B$258,F$4,$E267,$B$261,$B$262, "","","")</f>
        <v>#NotAvailable</v>
      </c>
      <c r="G267" s="325" t="str">
        <f t="array" ref="G267">_xll.VAData($B$258,G$4,$E267,$B$261,$B$262, "","","")</f>
        <v>#NotAvailable</v>
      </c>
      <c r="H267" s="325" t="str">
        <f t="array" ref="H267">_xll.VAData($B$258,H$4,$E267,$B$261,$B$262, "","","")</f>
        <v>#NotAvailable</v>
      </c>
      <c r="I267" s="325" t="str">
        <f t="array" ref="I267">_xll.VAData($B$258,I$4,$E267,$B$261,$B$262, "","","")</f>
        <v>#NotAvailable</v>
      </c>
      <c r="J267" s="325" t="str">
        <f t="array" ref="J267">_xll.VAData($B$258,J$4,$E267,$B$261,$B$262, "","","")</f>
        <v>#NotAvailable</v>
      </c>
      <c r="K267" s="325" t="str">
        <f t="array" ref="K267">_xll.VAData($B$258,K$4,$E267,$B$261,$B$262, "","","")</f>
        <v>#NotAvailable</v>
      </c>
      <c r="L267" s="325" t="str">
        <f t="array" ref="L267">_xll.VAData($B$258,L$4,$E267,$B$261,$B$262, "","","")</f>
        <v>#NotAvailable</v>
      </c>
      <c r="M267" s="325" t="str">
        <f t="array" ref="M267">_xll.VAData($B$258,M$4,$E267,$B$261,$B$262, "","","")</f>
        <v>#NotAvailable</v>
      </c>
      <c r="N267" s="325" t="str">
        <f t="array" ref="N267">_xll.VAData($B$258,N$4,$E267,$B$261,$B$262, "","","")</f>
        <v>#NotAvailable</v>
      </c>
      <c r="O267" s="325" t="str">
        <f t="array" ref="O267">_xll.VAData($B$258,O$4,$E267,$B$261,$B$262, "","","")</f>
        <v>#NotAvailable</v>
      </c>
      <c r="P267" s="325" t="str">
        <f t="array" ref="P267">_xll.VAData($B$258,P$4,$E267,$B$261,$B$262, "","","")</f>
        <v>#NotAvailable</v>
      </c>
      <c r="Q267" s="325" t="str">
        <f t="array" ref="Q267">_xll.VAData($B$258,Q$4,$E267,$B$261,$B$262, "","","")</f>
        <v>#NotAvailable</v>
      </c>
    </row>
    <row r="268" spans="2:17" s="324" customFormat="1" x14ac:dyDescent="0.2">
      <c r="B268" s="472" t="s">
        <v>84</v>
      </c>
      <c r="C268" s="332"/>
      <c r="D268" s="331"/>
      <c r="E268" s="371" t="s">
        <v>1240</v>
      </c>
      <c r="F268" s="325" t="str">
        <f t="array" ref="F268">_xll.VAData($B$258,F$4,$E268,$B$261,$B$262, "","","")</f>
        <v>#NotAvailable</v>
      </c>
      <c r="G268" s="325" t="str">
        <f t="array" ref="G268">_xll.VAData($B$258,G$4,$E268,$B$261,$B$262, "","","")</f>
        <v>#NotAvailable</v>
      </c>
      <c r="H268" s="325" t="str">
        <f t="array" ref="H268">_xll.VAData($B$258,H$4,$E268,$B$261,$B$262, "","","")</f>
        <v>#NotAvailable</v>
      </c>
      <c r="I268" s="325" t="str">
        <f t="array" ref="I268">_xll.VAData($B$258,I$4,$E268,$B$261,$B$262, "","","")</f>
        <v>#NotAvailable</v>
      </c>
      <c r="J268" s="325" t="str">
        <f t="array" ref="J268">_xll.VAData($B$258,J$4,$E268,$B$261,$B$262, "","","")</f>
        <v>#NotAvailable</v>
      </c>
      <c r="K268" s="325" t="str">
        <f t="array" ref="K268">_xll.VAData($B$258,K$4,$E268,$B$261,$B$262, "","","")</f>
        <v>#NotAvailable</v>
      </c>
      <c r="L268" s="325" t="str">
        <f t="array" ref="L268">_xll.VAData($B$258,L$4,$E268,$B$261,$B$262, "","","")</f>
        <v>#NotAvailable</v>
      </c>
      <c r="M268" s="325" t="str">
        <f t="array" ref="M268">_xll.VAData($B$258,M$4,$E268,$B$261,$B$262, "","","")</f>
        <v>#NotAvailable</v>
      </c>
      <c r="N268" s="325" t="str">
        <f t="array" ref="N268">_xll.VAData($B$258,N$4,$E268,$B$261,$B$262, "","","")</f>
        <v>#NotAvailable</v>
      </c>
      <c r="O268" s="325" t="str">
        <f t="array" ref="O268">_xll.VAData($B$258,O$4,$E268,$B$261,$B$262, "","","")</f>
        <v>#NotAvailable</v>
      </c>
      <c r="P268" s="325" t="str">
        <f t="array" ref="P268">_xll.VAData($B$258,P$4,$E268,$B$261,$B$262, "","","")</f>
        <v>#NotAvailable</v>
      </c>
      <c r="Q268" s="325" t="str">
        <f t="array" ref="Q268">_xll.VAData($B$258,Q$4,$E268,$B$261,$B$262, "","","")</f>
        <v>#NotAvailable</v>
      </c>
    </row>
    <row r="269" spans="2:17" s="324" customFormat="1" x14ac:dyDescent="0.2">
      <c r="B269" s="472"/>
      <c r="C269" s="332"/>
      <c r="D269" s="331"/>
      <c r="F269" s="325"/>
      <c r="G269" s="325"/>
      <c r="H269" s="325"/>
      <c r="I269" s="325"/>
      <c r="J269" s="325"/>
      <c r="K269" s="325"/>
      <c r="L269" s="325"/>
      <c r="M269" s="325"/>
      <c r="N269" s="325"/>
      <c r="O269" s="325"/>
      <c r="P269" s="325"/>
      <c r="Q269" s="325"/>
    </row>
    <row r="270" spans="2:17" x14ac:dyDescent="0.2">
      <c r="B270" s="471" t="s">
        <v>1241</v>
      </c>
    </row>
    <row r="271" spans="2:17" x14ac:dyDescent="0.2">
      <c r="B271" s="472" t="s">
        <v>408</v>
      </c>
      <c r="E271" s="458"/>
      <c r="F271" s="458"/>
      <c r="G271" s="458"/>
      <c r="H271" s="458" t="e">
        <f t="shared" ref="H271:Q271" si="53">$F$260/H266</f>
        <v>#VALUE!</v>
      </c>
      <c r="I271" s="458" t="e">
        <f t="shared" si="53"/>
        <v>#VALUE!</v>
      </c>
      <c r="J271" s="458" t="e">
        <f t="shared" si="53"/>
        <v>#VALUE!</v>
      </c>
      <c r="K271" s="458" t="e">
        <f t="shared" si="53"/>
        <v>#VALUE!</v>
      </c>
      <c r="L271" s="458" t="e">
        <f t="shared" si="53"/>
        <v>#VALUE!</v>
      </c>
      <c r="M271" s="458" t="e">
        <f t="shared" si="53"/>
        <v>#VALUE!</v>
      </c>
      <c r="N271" s="458" t="e">
        <f t="shared" si="53"/>
        <v>#VALUE!</v>
      </c>
      <c r="O271" s="458" t="e">
        <f t="shared" si="53"/>
        <v>#VALUE!</v>
      </c>
      <c r="P271" s="458" t="e">
        <f t="shared" si="53"/>
        <v>#VALUE!</v>
      </c>
      <c r="Q271" s="458" t="e">
        <f t="shared" si="53"/>
        <v>#VALUE!</v>
      </c>
    </row>
    <row r="272" spans="2:17" x14ac:dyDescent="0.2">
      <c r="B272" s="472" t="s">
        <v>1242</v>
      </c>
      <c r="F272" s="458"/>
      <c r="G272" s="458"/>
      <c r="H272" s="458" t="e">
        <f t="shared" ref="H272:Q272" si="54">$F$259/H267</f>
        <v>#VALUE!</v>
      </c>
      <c r="I272" s="458" t="e">
        <f t="shared" si="54"/>
        <v>#VALUE!</v>
      </c>
      <c r="J272" s="458" t="e">
        <f t="shared" si="54"/>
        <v>#VALUE!</v>
      </c>
      <c r="K272" s="458" t="e">
        <f t="shared" si="54"/>
        <v>#VALUE!</v>
      </c>
      <c r="L272" s="458" t="e">
        <f t="shared" si="54"/>
        <v>#VALUE!</v>
      </c>
      <c r="M272" s="458" t="e">
        <f t="shared" si="54"/>
        <v>#VALUE!</v>
      </c>
      <c r="N272" s="458" t="e">
        <f t="shared" si="54"/>
        <v>#VALUE!</v>
      </c>
      <c r="O272" s="458" t="e">
        <f t="shared" si="54"/>
        <v>#VALUE!</v>
      </c>
      <c r="P272" s="458" t="e">
        <f t="shared" si="54"/>
        <v>#VALUE!</v>
      </c>
      <c r="Q272" s="458" t="e">
        <f t="shared" si="54"/>
        <v>#VALUE!</v>
      </c>
    </row>
    <row r="273" spans="1:17" x14ac:dyDescent="0.2">
      <c r="B273" s="472" t="s">
        <v>410</v>
      </c>
      <c r="F273" s="458"/>
      <c r="G273" s="458"/>
      <c r="H273" s="458" t="e">
        <f t="shared" ref="H273:Q273" si="55">$F$259/H268</f>
        <v>#VALUE!</v>
      </c>
      <c r="I273" s="458" t="e">
        <f t="shared" si="55"/>
        <v>#VALUE!</v>
      </c>
      <c r="J273" s="458" t="e">
        <f t="shared" si="55"/>
        <v>#VALUE!</v>
      </c>
      <c r="K273" s="458" t="e">
        <f t="shared" si="55"/>
        <v>#VALUE!</v>
      </c>
      <c r="L273" s="458" t="e">
        <f t="shared" si="55"/>
        <v>#VALUE!</v>
      </c>
      <c r="M273" s="458" t="e">
        <f t="shared" si="55"/>
        <v>#VALUE!</v>
      </c>
      <c r="N273" s="458" t="e">
        <f t="shared" si="55"/>
        <v>#VALUE!</v>
      </c>
      <c r="O273" s="458" t="e">
        <f t="shared" si="55"/>
        <v>#VALUE!</v>
      </c>
      <c r="P273" s="458" t="e">
        <f t="shared" si="55"/>
        <v>#VALUE!</v>
      </c>
      <c r="Q273" s="458" t="e">
        <f t="shared" si="55"/>
        <v>#VALUE!</v>
      </c>
    </row>
    <row r="274" spans="1:17" x14ac:dyDescent="0.2">
      <c r="B274" s="472"/>
      <c r="F274" s="458"/>
    </row>
    <row r="275" spans="1:17" x14ac:dyDescent="0.2">
      <c r="B275" s="471" t="s">
        <v>1243</v>
      </c>
    </row>
    <row r="276" spans="1:17" x14ac:dyDescent="0.2">
      <c r="B276" s="472" t="s">
        <v>408</v>
      </c>
      <c r="E276" s="458"/>
      <c r="F276" s="458"/>
      <c r="G276" s="458"/>
      <c r="H276" s="458" t="e" vm="6">
        <f t="shared" ref="H276:Q276" si="56">$F$255/H75</f>
        <v>#VALUE!</v>
      </c>
      <c r="I276" s="458" t="e" vm="6">
        <f t="shared" si="56"/>
        <v>#VALUE!</v>
      </c>
      <c r="J276" s="458" t="e" vm="6">
        <f t="shared" si="56"/>
        <v>#VALUE!</v>
      </c>
      <c r="K276" s="458" t="e" vm="6">
        <f t="shared" si="56"/>
        <v>#VALUE!</v>
      </c>
      <c r="L276" s="458" t="e" vm="6">
        <f t="shared" si="56"/>
        <v>#VALUE!</v>
      </c>
      <c r="M276" s="458" t="e" vm="6">
        <f t="shared" si="56"/>
        <v>#VALUE!</v>
      </c>
      <c r="N276" s="458" t="e" vm="6">
        <f t="shared" si="56"/>
        <v>#VALUE!</v>
      </c>
      <c r="O276" s="458" t="e" vm="6">
        <f t="shared" si="56"/>
        <v>#VALUE!</v>
      </c>
      <c r="P276" s="458" t="e" vm="6">
        <f t="shared" si="56"/>
        <v>#VALUE!</v>
      </c>
      <c r="Q276" s="458" t="e" vm="6">
        <f t="shared" si="56"/>
        <v>#VALUE!</v>
      </c>
    </row>
    <row r="277" spans="1:17" x14ac:dyDescent="0.2">
      <c r="B277" s="472" t="s">
        <v>1244</v>
      </c>
      <c r="F277" s="458"/>
      <c r="G277" s="458"/>
      <c r="H277" s="458" t="e">
        <f t="shared" ref="H277:Q277" si="57">$F$259/H82</f>
        <v>#VALUE!</v>
      </c>
      <c r="I277" s="458" t="e">
        <f t="shared" si="57"/>
        <v>#VALUE!</v>
      </c>
      <c r="J277" s="458" t="e">
        <f t="shared" si="57"/>
        <v>#VALUE!</v>
      </c>
      <c r="K277" s="458" t="e">
        <f t="shared" si="57"/>
        <v>#VALUE!</v>
      </c>
      <c r="L277" s="458" t="e">
        <f t="shared" si="57"/>
        <v>#VALUE!</v>
      </c>
      <c r="M277" s="458" t="e">
        <f t="shared" si="57"/>
        <v>#VALUE!</v>
      </c>
      <c r="N277" s="458" t="e">
        <f t="shared" si="57"/>
        <v>#VALUE!</v>
      </c>
      <c r="O277" s="458" t="e">
        <f t="shared" si="57"/>
        <v>#VALUE!</v>
      </c>
      <c r="P277" s="458" t="e">
        <f t="shared" si="57"/>
        <v>#VALUE!</v>
      </c>
      <c r="Q277" s="458" t="e">
        <f t="shared" si="57"/>
        <v>#VALUE!</v>
      </c>
    </row>
    <row r="278" spans="1:17" x14ac:dyDescent="0.2">
      <c r="B278" s="326"/>
      <c r="F278" s="458"/>
    </row>
    <row r="279" spans="1:17" s="503" customFormat="1" x14ac:dyDescent="0.2">
      <c r="A279" s="504" t="s">
        <v>7</v>
      </c>
      <c r="B279" s="500" t="s">
        <v>133</v>
      </c>
      <c r="C279" s="501"/>
      <c r="D279" s="500"/>
      <c r="E279" s="502"/>
      <c r="F279" s="502"/>
      <c r="G279" s="502"/>
      <c r="H279" s="502"/>
      <c r="I279" s="502"/>
      <c r="J279" s="502"/>
      <c r="K279" s="502"/>
      <c r="L279" s="502"/>
      <c r="M279" s="502"/>
      <c r="N279" s="502"/>
      <c r="O279" s="502"/>
      <c r="P279" s="502"/>
      <c r="Q279" s="502"/>
    </row>
    <row r="280" spans="1:17" s="324" customFormat="1" x14ac:dyDescent="0.2">
      <c r="B280" s="326"/>
      <c r="C280" s="332"/>
      <c r="D280" s="331"/>
      <c r="F280" s="325"/>
      <c r="G280" s="325"/>
      <c r="H280" s="325"/>
      <c r="I280" s="325"/>
      <c r="J280" s="325"/>
      <c r="K280" s="325"/>
      <c r="L280" s="325"/>
      <c r="M280" s="325"/>
      <c r="N280" s="325"/>
      <c r="O280" s="325"/>
      <c r="P280" s="325"/>
      <c r="Q280" s="325"/>
    </row>
    <row r="281" spans="1:17" x14ac:dyDescent="0.2">
      <c r="B281" s="328" t="s">
        <v>855</v>
      </c>
      <c r="E281" s="322"/>
      <c r="F281" s="322"/>
      <c r="G281" s="322"/>
      <c r="H281" s="322"/>
      <c r="I281" s="322"/>
      <c r="J281" s="322"/>
      <c r="K281" s="322"/>
      <c r="L281" s="322"/>
      <c r="M281" s="322"/>
      <c r="N281" s="322"/>
      <c r="O281" s="322"/>
      <c r="P281" s="322"/>
      <c r="Q281" s="322"/>
    </row>
    <row r="282" spans="1:17" x14ac:dyDescent="0.2">
      <c r="B282" s="326" t="s">
        <v>1245</v>
      </c>
      <c r="E282" s="325"/>
      <c r="F282" s="325"/>
      <c r="G282" s="325"/>
      <c r="H282" s="325">
        <f>INDEX(HY!433:433,MATCH(H$7,HY!$8:$8,0))</f>
        <v>-71.600000000000009</v>
      </c>
      <c r="I282" s="325">
        <f>INDEX(HY!433:433,MATCH(I$7,HY!$8:$8,0))</f>
        <v>6.1999999999999957</v>
      </c>
      <c r="J282" s="325">
        <f>INDEX(HY!433:433,MATCH(J$7,HY!$8:$8,0))</f>
        <v>4.4614307704091196</v>
      </c>
      <c r="K282" s="325">
        <f>INDEX(HY!433:433,MATCH(K$7,HY!$8:$8,0))</f>
        <v>-2.0350705166349456</v>
      </c>
      <c r="L282" s="325">
        <f>INDEX(HY!433:433,MATCH(L$7,HY!$8:$8,0))</f>
        <v>-11.275051409491255</v>
      </c>
      <c r="M282" s="325">
        <f>INDEX(HY!433:433,MATCH(M$7,HY!$8:$8,0))</f>
        <v>-23.229758684486306</v>
      </c>
      <c r="N282" s="325">
        <f>INDEX(HY!433:433,MATCH(N$7,HY!$8:$8,0))</f>
        <v>-36.704095236106582</v>
      </c>
      <c r="O282" s="325">
        <f>INDEX(HY!433:433,MATCH(O$7,HY!$8:$8,0))</f>
        <v>-51.028307149279442</v>
      </c>
      <c r="P282" s="325">
        <f>INDEX(HY!433:433,MATCH(P$7,HY!$8:$8,0))</f>
        <v>-66.278045616778371</v>
      </c>
      <c r="Q282" s="325">
        <f>INDEX(HY!433:433,MATCH(Q$7,HY!$8:$8,0))</f>
        <v>-82.516074614117727</v>
      </c>
    </row>
    <row r="283" spans="1:17" x14ac:dyDescent="0.2">
      <c r="B283" s="326" t="s">
        <v>1246</v>
      </c>
      <c r="E283" s="458"/>
      <c r="F283" s="458"/>
      <c r="G283" s="458"/>
      <c r="H283" s="458">
        <f>INDEX(HY!442:442,MATCH(H$7,HY!$8:$8,0))</f>
        <v>-9.9444444444444446</v>
      </c>
      <c r="I283" s="458">
        <f>INDEX(HY!442:442,MATCH(I$7,HY!$8:$8,0))</f>
        <v>-0.8732394366197177</v>
      </c>
      <c r="J283" s="458">
        <f>INDEX(HY!442:442,MATCH(J$7,HY!$8:$8,0))</f>
        <v>0.27085441514966446</v>
      </c>
      <c r="K283" s="458">
        <f>INDEX(HY!442:442,MATCH(K$7,HY!$8:$8,0))</f>
        <v>-9.4301938878965819E-2</v>
      </c>
      <c r="L283" s="458">
        <f>INDEX(HY!442:442,MATCH(L$7,HY!$8:$8,0))</f>
        <v>-0.44162107103064097</v>
      </c>
      <c r="M283" s="458">
        <f>INDEX(HY!442:442,MATCH(M$7,HY!$8:$8,0))</f>
        <v>-0.8172685099409186</v>
      </c>
      <c r="N283" s="458">
        <f>INDEX(HY!442:442,MATCH(N$7,HY!$8:$8,0))</f>
        <v>-1.1850822227427051</v>
      </c>
      <c r="O283" s="458">
        <f>INDEX(HY!442:442,MATCH(O$7,HY!$8:$8,0))</f>
        <v>-1.5684863483271263</v>
      </c>
      <c r="P283" s="458">
        <f>INDEX(HY!442:442,MATCH(P$7,HY!$8:$8,0))</f>
        <v>-1.9394487191067225</v>
      </c>
      <c r="Q283" s="458">
        <f>INDEX(HY!442:442,MATCH(Q$7,HY!$8:$8,0))</f>
        <v>-2.2987382816270596</v>
      </c>
    </row>
    <row r="284" spans="1:17" x14ac:dyDescent="0.2">
      <c r="B284" s="326"/>
      <c r="E284" s="458"/>
      <c r="F284" s="458"/>
      <c r="G284" s="458"/>
      <c r="H284" s="458"/>
      <c r="I284" s="458"/>
      <c r="J284" s="458"/>
      <c r="K284" s="458"/>
      <c r="L284" s="458"/>
      <c r="M284" s="458"/>
      <c r="N284" s="458"/>
      <c r="O284" s="458"/>
      <c r="P284" s="458"/>
      <c r="Q284" s="458"/>
    </row>
    <row r="285" spans="1:17" x14ac:dyDescent="0.2">
      <c r="B285" s="326" t="s">
        <v>1247</v>
      </c>
      <c r="E285" s="325"/>
      <c r="F285" s="325"/>
      <c r="G285" s="325"/>
      <c r="H285" s="325">
        <f>INDEX(HY!439:439,MATCH(H$7,HY!$8:$8,0))</f>
        <v>-52.600000000000016</v>
      </c>
      <c r="I285" s="325">
        <f>INDEX(HY!439:439,MATCH(I$7,HY!$8:$8,0))</f>
        <v>22.099999999999994</v>
      </c>
      <c r="J285" s="325">
        <f>INDEX(HY!439:439,MATCH(J$7,HY!$8:$8,0))</f>
        <v>20.361430770409122</v>
      </c>
      <c r="K285" s="325">
        <f>INDEX(HY!439:439,MATCH(K$7,HY!$8:$8,0))</f>
        <v>13.864929483365055</v>
      </c>
      <c r="L285" s="325">
        <f>INDEX(HY!439:439,MATCH(L$7,HY!$8:$8,0))</f>
        <v>4.6249485905087457</v>
      </c>
      <c r="M285" s="325">
        <f>INDEX(HY!439:439,MATCH(M$7,HY!$8:$8,0))</f>
        <v>-7.3297586844863076</v>
      </c>
      <c r="N285" s="325">
        <f>INDEX(HY!439:439,MATCH(N$7,HY!$8:$8,0))</f>
        <v>-20.804095236106583</v>
      </c>
      <c r="O285" s="325">
        <f>INDEX(HY!439:439,MATCH(O$7,HY!$8:$8,0))</f>
        <v>-35.128307149279443</v>
      </c>
      <c r="P285" s="325">
        <f>INDEX(HY!439:439,MATCH(P$7,HY!$8:$8,0))</f>
        <v>-50.378045616778373</v>
      </c>
      <c r="Q285" s="325">
        <f>INDEX(HY!439:439,MATCH(Q$7,HY!$8:$8,0))</f>
        <v>-66.616074614117721</v>
      </c>
    </row>
    <row r="286" spans="1:17" x14ac:dyDescent="0.2">
      <c r="B286" s="326" t="s">
        <v>1248</v>
      </c>
      <c r="E286" s="458"/>
      <c r="F286" s="458"/>
      <c r="G286" s="458"/>
      <c r="H286" s="458">
        <f>INDEX(HY!443:443,MATCH(H$7,HY!$8:$8,0))</f>
        <v>-7.3055555555555571</v>
      </c>
      <c r="I286" s="458">
        <f>INDEX(HY!443:443,MATCH(I$7,HY!$8:$8,0))</f>
        <v>-3.1126760563380276</v>
      </c>
      <c r="J286" s="458">
        <f>INDEX(HY!443:443,MATCH(J$7,HY!$8:$8,0))</f>
        <v>1.2361468118049075</v>
      </c>
      <c r="K286" s="458">
        <f>INDEX(HY!443:443,MATCH(K$7,HY!$8:$8,0))</f>
        <v>0.64247883403246331</v>
      </c>
      <c r="L286" s="458">
        <f>INDEX(HY!443:443,MATCH(L$7,HY!$8:$8,0))</f>
        <v>0.18114992790922316</v>
      </c>
      <c r="M286" s="458">
        <f>INDEX(HY!443:443,MATCH(M$7,HY!$8:$8,0))</f>
        <v>-0.2578752986485921</v>
      </c>
      <c r="N286" s="458">
        <f>INDEX(HY!443:443,MATCH(N$7,HY!$8:$8,0))</f>
        <v>-0.67171151518544736</v>
      </c>
      <c r="O286" s="458">
        <f>INDEX(HY!443:443,MATCH(O$7,HY!$8:$8,0))</f>
        <v>-1.079758927575261</v>
      </c>
      <c r="P286" s="458">
        <f>INDEX(HY!443:443,MATCH(P$7,HY!$8:$8,0))</f>
        <v>-1.4741779896090741</v>
      </c>
      <c r="Q286" s="458">
        <f>INDEX(HY!443:443,MATCH(Q$7,HY!$8:$8,0))</f>
        <v>-1.8557950266456005</v>
      </c>
    </row>
    <row r="287" spans="1:17" x14ac:dyDescent="0.2">
      <c r="B287" s="326"/>
      <c r="E287" s="458"/>
      <c r="F287" s="458"/>
      <c r="G287" s="458"/>
      <c r="H287" s="458"/>
      <c r="I287" s="458"/>
      <c r="J287" s="458"/>
      <c r="K287" s="458"/>
      <c r="L287" s="458"/>
      <c r="M287" s="458"/>
      <c r="N287" s="458"/>
      <c r="O287" s="458"/>
      <c r="P287" s="458"/>
      <c r="Q287" s="458"/>
    </row>
    <row r="288" spans="1:17" x14ac:dyDescent="0.2">
      <c r="B288" s="328" t="s">
        <v>1249</v>
      </c>
      <c r="E288" s="458"/>
      <c r="F288" s="325"/>
      <c r="G288" s="325"/>
      <c r="H288" s="325"/>
      <c r="I288" s="325"/>
      <c r="J288" s="325"/>
      <c r="K288" s="325"/>
      <c r="L288" s="325"/>
      <c r="M288" s="325"/>
      <c r="N288" s="325"/>
      <c r="O288" s="325"/>
      <c r="P288" s="325"/>
      <c r="Q288" s="325"/>
    </row>
    <row r="289" spans="2:17" x14ac:dyDescent="0.2">
      <c r="B289" s="326" t="s">
        <v>1250</v>
      </c>
      <c r="E289" s="325"/>
      <c r="F289" s="325"/>
      <c r="G289" s="325"/>
      <c r="H289" s="325">
        <f>SUMIFS(HY!$E423:$AL423,HY!$E$14:$AL$14,FY!H$4)</f>
        <v>-2.9000000000000004</v>
      </c>
      <c r="I289" s="325">
        <f>SUMIFS(HY!$E423:$AL423,HY!$E$14:$AL$14,FY!I$4)</f>
        <v>-0.80000000000000016</v>
      </c>
      <c r="J289" s="325">
        <f>SUMIFS(HY!$E423:$AL423,HY!$E$14:$AL$14,FY!J$4)</f>
        <v>-3.1315162958369278</v>
      </c>
      <c r="K289" s="325">
        <f>SUMIFS(HY!$E423:$AL423,HY!$E$14:$AL$14,FY!K$4)</f>
        <v>-3.0722527452691315</v>
      </c>
      <c r="L289" s="325">
        <f>SUMIFS(HY!$E423:$AL423,HY!$E$14:$AL$14,FY!L$4)</f>
        <v>-2.9181680516125295</v>
      </c>
      <c r="M289" s="325">
        <f>SUMIFS(HY!$E423:$AL423,HY!$E$14:$AL$14,FY!M$4)</f>
        <v>-2.7145078603249502</v>
      </c>
      <c r="N289" s="325">
        <f>SUMIFS(HY!$E423:$AL423,HY!$E$14:$AL$14,FY!N$4)</f>
        <v>-2.4678318960215213</v>
      </c>
      <c r="O289" s="325">
        <f>SUMIFS(HY!$E423:$AL423,HY!$E$14:$AL$14,FY!O$4)</f>
        <v>-2.199879652318053</v>
      </c>
      <c r="P289" s="325">
        <f>SUMIFS(HY!$E423:$AL423,HY!$E$14:$AL$14,FY!P$4)</f>
        <v>-1.9029678381200241</v>
      </c>
      <c r="Q289" s="325">
        <f>SUMIFS(HY!$E423:$AL423,HY!$E$14:$AL$14,FY!Q$4)</f>
        <v>-1.5930165882717675</v>
      </c>
    </row>
    <row r="290" spans="2:17" x14ac:dyDescent="0.2">
      <c r="B290" s="326" t="s">
        <v>1251</v>
      </c>
      <c r="E290" s="469"/>
      <c r="F290" s="469"/>
      <c r="G290" s="469"/>
      <c r="H290" s="469" t="e">
        <f>-IFERROR(AVERAGEIFS(HY!$E$414:$AL$414,HY!$E$14:$AL$14,FY!H$4,HY!$E$414:$AL$414,"&lt;="&amp;0),NA())</f>
        <v>#N/A</v>
      </c>
      <c r="I290" s="469">
        <f>-IFERROR(AVERAGEIFS(HY!$E$414:$AL$414,HY!$E$14:$AL$14,FY!I$4,HY!$E$414:$AL$414,"&lt;="&amp;0),NA())</f>
        <v>0.12284385486371396</v>
      </c>
      <c r="J290" s="469">
        <f>-IFERROR(AVERAGEIFS(HY!$E$414:$AL$414,HY!$E$14:$AL$14,FY!J$4,HY!$E$414:$AL$414,"&lt;="&amp;0),NA())</f>
        <v>9.5000000000000001E-2</v>
      </c>
      <c r="K290" s="469">
        <f>-IFERROR(AVERAGEIFS(HY!$E$414:$AL$414,HY!$E$14:$AL$14,FY!K$4,HY!$E$414:$AL$414,"&lt;="&amp;0),NA())</f>
        <v>9.5000000000000001E-2</v>
      </c>
      <c r="L290" s="469">
        <f>-IFERROR(AVERAGEIFS(HY!$E$414:$AL$414,HY!$E$14:$AL$14,FY!L$4,HY!$E$414:$AL$414,"&lt;="&amp;0),NA())</f>
        <v>9.5000000000000001E-2</v>
      </c>
      <c r="M290" s="469">
        <f>-IFERROR(AVERAGEIFS(HY!$E$414:$AL$414,HY!$E$14:$AL$14,FY!M$4,HY!$E$414:$AL$414,"&lt;="&amp;0),NA())</f>
        <v>9.5000000000000001E-2</v>
      </c>
      <c r="N290" s="469">
        <f>-IFERROR(AVERAGEIFS(HY!$E$414:$AL$414,HY!$E$14:$AL$14,FY!N$4,HY!$E$414:$AL$414,"&lt;="&amp;0),NA())</f>
        <v>9.5000000000000001E-2</v>
      </c>
      <c r="O290" s="469">
        <f>-IFERROR(AVERAGEIFS(HY!$E$414:$AL$414,HY!$E$14:$AL$14,FY!O$4,HY!$E$414:$AL$414,"&lt;="&amp;0),NA())</f>
        <v>9.5000000000000001E-2</v>
      </c>
      <c r="P290" s="469">
        <f>-IFERROR(AVERAGEIFS(HY!$E$414:$AL$414,HY!$E$14:$AL$14,FY!P$4,HY!$E$414:$AL$414,"&lt;="&amp;0),NA())</f>
        <v>9.5000000000000001E-2</v>
      </c>
      <c r="Q290" s="469">
        <f>-IFERROR(AVERAGEIFS(HY!$E$414:$AL$414,HY!$E$14:$AL$14,FY!Q$4,HY!$E$414:$AL$414,"&lt;="&amp;0),NA())</f>
        <v>9.5000000000000001E-2</v>
      </c>
    </row>
    <row r="291" spans="2:17" x14ac:dyDescent="0.2">
      <c r="B291" s="326" t="s">
        <v>1252</v>
      </c>
      <c r="E291" s="458"/>
      <c r="F291" s="458"/>
      <c r="G291" s="458"/>
      <c r="H291" s="458">
        <f>H75/-H289</f>
        <v>2.4827586206896548</v>
      </c>
      <c r="I291" s="458">
        <f t="shared" ref="I291:Q291" si="58">I113/-I289</f>
        <v>-30.374999999999996</v>
      </c>
      <c r="J291" s="458">
        <f t="shared" si="58"/>
        <v>2.495455708987544</v>
      </c>
      <c r="K291" s="458">
        <f t="shared" si="58"/>
        <v>5.2084978417507779</v>
      </c>
      <c r="L291" s="458">
        <f t="shared" si="58"/>
        <v>7.9608538196550329</v>
      </c>
      <c r="M291" s="458">
        <f t="shared" si="58"/>
        <v>9.6227284099229866</v>
      </c>
      <c r="N291" s="458">
        <f t="shared" si="58"/>
        <v>11.602065471409249</v>
      </c>
      <c r="O291" s="458">
        <f t="shared" si="58"/>
        <v>13.671955774437526</v>
      </c>
      <c r="P291" s="458">
        <f t="shared" si="58"/>
        <v>16.602485682726272</v>
      </c>
      <c r="Q291" s="458">
        <f t="shared" si="58"/>
        <v>20.833183806532897</v>
      </c>
    </row>
    <row r="293" spans="2:17" s="324" customFormat="1" x14ac:dyDescent="0.2">
      <c r="B293" s="328" t="s">
        <v>1253</v>
      </c>
      <c r="C293" s="332"/>
      <c r="D293" s="331"/>
      <c r="E293" s="333"/>
      <c r="F293" s="333"/>
      <c r="G293" s="333"/>
      <c r="H293" s="333"/>
      <c r="I293" s="333"/>
      <c r="J293" s="333"/>
      <c r="K293" s="333"/>
      <c r="L293" s="333"/>
      <c r="M293" s="333"/>
      <c r="N293" s="333"/>
      <c r="O293" s="333"/>
      <c r="P293" s="333"/>
      <c r="Q293" s="333"/>
    </row>
    <row r="294" spans="2:17" x14ac:dyDescent="0.2">
      <c r="B294" s="326" t="s">
        <v>1254</v>
      </c>
      <c r="E294" s="459"/>
      <c r="F294" s="325"/>
      <c r="G294" s="325"/>
      <c r="H294" s="459">
        <v>296.34443900000002</v>
      </c>
      <c r="I294" s="325">
        <f t="shared" ref="I294:Q294" si="59">H295</f>
        <v>1025.5177160000001</v>
      </c>
      <c r="J294" s="325">
        <f t="shared" si="59"/>
        <v>1046.306313</v>
      </c>
      <c r="K294" s="325">
        <f t="shared" si="59"/>
        <v>1054.306313</v>
      </c>
      <c r="L294" s="325">
        <f t="shared" si="59"/>
        <v>1060.306313</v>
      </c>
      <c r="M294" s="325">
        <f t="shared" si="59"/>
        <v>1066.306313</v>
      </c>
      <c r="N294" s="325">
        <f t="shared" si="59"/>
        <v>1072.306313</v>
      </c>
      <c r="O294" s="325">
        <f t="shared" si="59"/>
        <v>1078.306313</v>
      </c>
      <c r="P294" s="325">
        <f t="shared" si="59"/>
        <v>1084.306313</v>
      </c>
      <c r="Q294" s="325">
        <f t="shared" si="59"/>
        <v>1090.306313</v>
      </c>
    </row>
    <row r="295" spans="2:17" x14ac:dyDescent="0.2">
      <c r="B295" s="326" t="s">
        <v>1255</v>
      </c>
      <c r="E295" s="325"/>
      <c r="F295" s="325"/>
      <c r="G295" s="325"/>
      <c r="H295" s="325">
        <f>INDEX(HY!$E500:$AL500,MATCH(H$7,HY!$E$8:$AL$8,0))</f>
        <v>1025.5177160000001</v>
      </c>
      <c r="I295" s="325">
        <f>INDEX(HY!$E500:$AL500,MATCH(I$7,HY!$E$8:$AL$8,0))</f>
        <v>1046.306313</v>
      </c>
      <c r="J295" s="325">
        <f>INDEX(HY!$E500:$AL500,MATCH(J$7,HY!$E$8:$AL$8,0))</f>
        <v>1054.306313</v>
      </c>
      <c r="K295" s="325">
        <f>INDEX(HY!$E500:$AL500,MATCH(K$7,HY!$E$8:$AL$8,0))</f>
        <v>1060.306313</v>
      </c>
      <c r="L295" s="325">
        <f>INDEX(HY!$E500:$AL500,MATCH(L$7,HY!$E$8:$AL$8,0))</f>
        <v>1066.306313</v>
      </c>
      <c r="M295" s="325">
        <f>INDEX(HY!$E500:$AL500,MATCH(M$7,HY!$E$8:$AL$8,0))</f>
        <v>1072.306313</v>
      </c>
      <c r="N295" s="325">
        <f>INDEX(HY!$E500:$AL500,MATCH(N$7,HY!$E$8:$AL$8,0))</f>
        <v>1078.306313</v>
      </c>
      <c r="O295" s="325">
        <f>INDEX(HY!$E500:$AL500,MATCH(O$7,HY!$E$8:$AL$8,0))</f>
        <v>1084.306313</v>
      </c>
      <c r="P295" s="325">
        <f>INDEX(HY!$E500:$AL500,MATCH(P$7,HY!$E$8:$AL$8,0))</f>
        <v>1090.306313</v>
      </c>
      <c r="Q295" s="325">
        <f>INDEX(HY!$E500:$AL500,MATCH(Q$7,HY!$E$8:$AL$8,0))</f>
        <v>1096.306313</v>
      </c>
    </row>
    <row r="296" spans="2:17" x14ac:dyDescent="0.2">
      <c r="B296" s="326" t="s">
        <v>1256</v>
      </c>
      <c r="E296" s="325"/>
      <c r="F296" s="325"/>
      <c r="G296" s="325"/>
      <c r="H296" s="325">
        <f t="shared" ref="H296:Q296" si="60">AVERAGE(H294:H295)</f>
        <v>660.93107750000001</v>
      </c>
      <c r="I296" s="325">
        <f t="shared" si="60"/>
        <v>1035.9120145000002</v>
      </c>
      <c r="J296" s="325">
        <f t="shared" si="60"/>
        <v>1050.306313</v>
      </c>
      <c r="K296" s="325">
        <f t="shared" si="60"/>
        <v>1057.306313</v>
      </c>
      <c r="L296" s="325">
        <f t="shared" si="60"/>
        <v>1063.306313</v>
      </c>
      <c r="M296" s="325">
        <f t="shared" si="60"/>
        <v>1069.306313</v>
      </c>
      <c r="N296" s="325">
        <f t="shared" si="60"/>
        <v>1075.306313</v>
      </c>
      <c r="O296" s="325">
        <f t="shared" si="60"/>
        <v>1081.306313</v>
      </c>
      <c r="P296" s="325">
        <f t="shared" si="60"/>
        <v>1087.306313</v>
      </c>
      <c r="Q296" s="325">
        <f t="shared" si="60"/>
        <v>1093.306313</v>
      </c>
    </row>
    <row r="297" spans="2:17" x14ac:dyDescent="0.2">
      <c r="B297" s="326"/>
      <c r="E297" s="325"/>
      <c r="F297" s="325"/>
      <c r="G297" s="325"/>
      <c r="H297" s="325"/>
      <c r="I297" s="325"/>
      <c r="J297" s="325"/>
      <c r="K297" s="325"/>
      <c r="L297" s="325"/>
      <c r="M297" s="325"/>
      <c r="N297" s="325"/>
      <c r="O297" s="325"/>
      <c r="P297" s="325"/>
      <c r="Q297" s="325"/>
    </row>
    <row r="298" spans="2:17" x14ac:dyDescent="0.2">
      <c r="B298" s="326" t="s">
        <v>1257</v>
      </c>
      <c r="E298" s="325"/>
      <c r="F298" s="325"/>
      <c r="G298" s="325"/>
      <c r="H298" s="325">
        <f>INDEX(HY!$E505:$AL505,MATCH(H$7,HY!$E$8:$AL$8,0))</f>
        <v>1025.5177160000001</v>
      </c>
      <c r="I298" s="325">
        <f>INDEX(HY!$E505:$AL505,MATCH(I$7,HY!$E$8:$AL$8,0))</f>
        <v>1046.306313</v>
      </c>
      <c r="J298" s="325">
        <f>INDEX(HY!$E505:$AL505,MATCH(J$7,HY!$E$8:$AL$8,0))</f>
        <v>1054.306313</v>
      </c>
      <c r="K298" s="325">
        <f>INDEX(HY!$E505:$AL505,MATCH(K$7,HY!$E$8:$AL$8,0))</f>
        <v>1060.306313</v>
      </c>
      <c r="L298" s="325">
        <f>INDEX(HY!$E505:$AL505,MATCH(L$7,HY!$E$8:$AL$8,0))</f>
        <v>1066.306313</v>
      </c>
      <c r="M298" s="325">
        <f>INDEX(HY!$E505:$AL505,MATCH(M$7,HY!$E$8:$AL$8,0))</f>
        <v>1072.306313</v>
      </c>
      <c r="N298" s="325">
        <f>INDEX(HY!$E505:$AL505,MATCH(N$7,HY!$E$8:$AL$8,0))</f>
        <v>1078.306313</v>
      </c>
      <c r="O298" s="325">
        <f>INDEX(HY!$E505:$AL505,MATCH(O$7,HY!$E$8:$AL$8,0))</f>
        <v>1084.306313</v>
      </c>
      <c r="P298" s="325">
        <f>INDEX(HY!$E505:$AL505,MATCH(P$7,HY!$E$8:$AL$8,0))</f>
        <v>1090.306313</v>
      </c>
      <c r="Q298" s="325">
        <f>INDEX(HY!$E505:$AL505,MATCH(Q$7,HY!$E$8:$AL$8,0))</f>
        <v>1096.306313</v>
      </c>
    </row>
    <row r="299" spans="2:17" x14ac:dyDescent="0.2">
      <c r="B299" s="326" t="s">
        <v>1258</v>
      </c>
      <c r="E299" s="325"/>
      <c r="F299" s="325"/>
      <c r="G299" s="325"/>
      <c r="H299" s="325">
        <f>INDEX(HY!$E507:$AL507,MATCH(H$7,HY!$E$8:$AL$8,0))</f>
        <v>641.91700300000002</v>
      </c>
      <c r="I299" s="325">
        <f>INDEX(HY!$E507:$AL507,MATCH(I$7,HY!$E$8:$AL$8,0))</f>
        <v>1046.819399</v>
      </c>
      <c r="J299" s="325">
        <f>INDEX(HY!$E507:$AL507,MATCH(J$7,HY!$E$8:$AL$8,0))</f>
        <v>1054.306313</v>
      </c>
      <c r="K299" s="325">
        <f>INDEX(HY!$E507:$AL507,MATCH(K$7,HY!$E$8:$AL$8,0))</f>
        <v>1060.306313</v>
      </c>
      <c r="L299" s="325">
        <f>INDEX(HY!$E507:$AL507,MATCH(L$7,HY!$E$8:$AL$8,0))</f>
        <v>1066.306313</v>
      </c>
      <c r="M299" s="325">
        <f>INDEX(HY!$E507:$AL507,MATCH(M$7,HY!$E$8:$AL$8,0))</f>
        <v>1072.306313</v>
      </c>
      <c r="N299" s="325">
        <f>INDEX(HY!$E507:$AL507,MATCH(N$7,HY!$E$8:$AL$8,0))</f>
        <v>1078.306313</v>
      </c>
      <c r="O299" s="325">
        <f>INDEX(HY!$E507:$AL507,MATCH(O$7,HY!$E$8:$AL$8,0))</f>
        <v>1084.306313</v>
      </c>
      <c r="P299" s="325">
        <f>INDEX(HY!$E507:$AL507,MATCH(P$7,HY!$E$8:$AL$8,0))</f>
        <v>1090.306313</v>
      </c>
      <c r="Q299" s="325">
        <f>INDEX(HY!$E507:$AL507,MATCH(Q$7,HY!$E$8:$AL$8,0))</f>
        <v>1096.306313</v>
      </c>
    </row>
    <row r="300" spans="2:17" x14ac:dyDescent="0.2">
      <c r="B300" s="326"/>
      <c r="E300" s="316"/>
      <c r="F300" s="325"/>
      <c r="G300" s="325"/>
      <c r="H300" s="325"/>
      <c r="I300" s="325"/>
      <c r="J300" s="325"/>
      <c r="K300" s="325"/>
      <c r="L300" s="325"/>
      <c r="M300" s="325"/>
      <c r="N300" s="325"/>
      <c r="O300" s="325"/>
      <c r="P300" s="325"/>
      <c r="Q300" s="325"/>
    </row>
    <row r="301" spans="2:17" x14ac:dyDescent="0.2">
      <c r="B301" s="328" t="s">
        <v>266</v>
      </c>
      <c r="E301" s="325"/>
      <c r="F301" s="325"/>
      <c r="G301" s="325"/>
      <c r="H301" s="325"/>
      <c r="I301" s="325"/>
      <c r="J301" s="325"/>
      <c r="K301" s="325"/>
      <c r="L301" s="325"/>
      <c r="M301" s="325"/>
      <c r="N301" s="325"/>
      <c r="O301" s="325"/>
      <c r="P301" s="325"/>
      <c r="Q301" s="325"/>
    </row>
    <row r="302" spans="2:17" x14ac:dyDescent="0.2">
      <c r="B302" s="326" t="s">
        <v>269</v>
      </c>
      <c r="E302" s="325"/>
      <c r="F302" s="480"/>
      <c r="G302" s="480"/>
      <c r="H302" s="480">
        <f>INDEX(HY!$E466:$AL466,MATCH(H$7,HY!$E$8:$AL$8,0))</f>
        <v>0.27</v>
      </c>
      <c r="I302" s="480">
        <f>INDEX(HY!$E466:$AL466,MATCH(I$7,HY!$E$8:$AL$8,0))</f>
        <v>0.19</v>
      </c>
      <c r="J302" s="480">
        <f>INDEX(HY!$E466:$AL466,MATCH(J$7,HY!$E$8:$AL$8,0))</f>
        <v>0.20108204687500003</v>
      </c>
      <c r="K302" s="480">
        <f>INDEX(HY!$E466:$AL466,MATCH(K$7,HY!$E$8:$AL$8,0))</f>
        <v>0.21281047144968268</v>
      </c>
      <c r="L302" s="480">
        <f>INDEX(HY!$E466:$AL466,MATCH(L$7,HY!$E$8:$AL$8,0))</f>
        <v>0.22522297471334707</v>
      </c>
      <c r="M302" s="480">
        <f>INDEX(HY!$E466:$AL466,MATCH(M$7,HY!$E$8:$AL$8,0))</f>
        <v>0.23835945662440103</v>
      </c>
      <c r="N302" s="480">
        <f>INDEX(HY!$E466:$AL466,MATCH(N$7,HY!$E$8:$AL$8,0))</f>
        <v>0.25226214436867023</v>
      </c>
      <c r="O302" s="480">
        <f>INDEX(HY!$E466:$AL466,MATCH(O$7,HY!$E$8:$AL$8,0))</f>
        <v>0.26697572809857351</v>
      </c>
      <c r="P302" s="480">
        <f>INDEX(HY!$E466:$AL466,MATCH(P$7,HY!$E$8:$AL$8,0))</f>
        <v>0.28254750458949801</v>
      </c>
      <c r="Q302" s="480">
        <f>INDEX(HY!$E466:$AL466,MATCH(Q$7,HY!$E$8:$AL$8,0))</f>
        <v>0.29902752927515647</v>
      </c>
    </row>
    <row r="303" spans="2:17" x14ac:dyDescent="0.2">
      <c r="Q303" s="469"/>
    </row>
    <row r="304" spans="2:17" x14ac:dyDescent="0.2">
      <c r="B304" s="328" t="s">
        <v>1259</v>
      </c>
    </row>
    <row r="305" spans="2:17" x14ac:dyDescent="0.2">
      <c r="B305" s="326" t="s">
        <v>1260</v>
      </c>
      <c r="E305" s="325"/>
      <c r="F305" s="325"/>
      <c r="G305" s="325"/>
      <c r="H305" s="325">
        <f>SUMIFS(HY!$E347:$AL347,HY!$E$14:$AL$14,FY!H$4)</f>
        <v>5.7</v>
      </c>
      <c r="I305" s="325">
        <f>SUMIFS(HY!$E347:$AL347,HY!$E$14:$AL$14,FY!I$4)</f>
        <v>8.6999999999999993</v>
      </c>
      <c r="J305" s="325">
        <f>SUMIFS(HY!$E347:$AL347,HY!$E$14:$AL$14,FY!J$4)</f>
        <v>10.021676216280451</v>
      </c>
      <c r="K305" s="325">
        <f>SUMIFS(HY!$E347:$AL347,HY!$E$14:$AL$14,FY!K$4)</f>
        <v>10.522760027094474</v>
      </c>
      <c r="L305" s="325">
        <f>SUMIFS(HY!$E347:$AL347,HY!$E$14:$AL$14,FY!L$4)</f>
        <v>11.048898028449198</v>
      </c>
      <c r="M305" s="325">
        <f>SUMIFS(HY!$E347:$AL347,HY!$E$14:$AL$14,FY!M$4)</f>
        <v>10.611445734225004</v>
      </c>
      <c r="N305" s="325">
        <f>SUMIFS(HY!$E347:$AL347,HY!$E$14:$AL$14,FY!N$4)</f>
        <v>11.142018020936252</v>
      </c>
      <c r="O305" s="325">
        <f>SUMIFS(HY!$E347:$AL347,HY!$E$14:$AL$14,FY!O$4)</f>
        <v>11.699118921983068</v>
      </c>
      <c r="P305" s="325">
        <f>SUMIFS(HY!$E347:$AL347,HY!$E$14:$AL$14,FY!P$4)</f>
        <v>12.28407486808222</v>
      </c>
      <c r="Q305" s="325">
        <f>SUMIFS(HY!$E347:$AL347,HY!$E$14:$AL$14,FY!Q$4)</f>
        <v>12.898278611486329</v>
      </c>
    </row>
    <row r="306" spans="2:17" x14ac:dyDescent="0.2">
      <c r="B306" s="326" t="s">
        <v>1261</v>
      </c>
      <c r="E306" s="469"/>
      <c r="F306" s="469"/>
      <c r="G306" s="469"/>
      <c r="H306" s="469">
        <f t="shared" ref="H306:Q306" si="61">H305/H68</f>
        <v>4.234769687964339E-2</v>
      </c>
      <c r="I306" s="469">
        <f t="shared" si="61"/>
        <v>5.9834938101788165E-2</v>
      </c>
      <c r="J306" s="469">
        <f t="shared" si="61"/>
        <v>6.0130718954248347E-2</v>
      </c>
      <c r="K306" s="469">
        <f t="shared" si="61"/>
        <v>6.0130718954248367E-2</v>
      </c>
      <c r="L306" s="469">
        <f t="shared" si="61"/>
        <v>6.0130718954248367E-2</v>
      </c>
      <c r="M306" s="469">
        <f t="shared" si="61"/>
        <v>5.5E-2</v>
      </c>
      <c r="N306" s="469">
        <f t="shared" si="61"/>
        <v>5.5E-2</v>
      </c>
      <c r="O306" s="469">
        <f t="shared" si="61"/>
        <v>5.5E-2</v>
      </c>
      <c r="P306" s="469">
        <f t="shared" si="61"/>
        <v>5.5E-2</v>
      </c>
      <c r="Q306" s="469">
        <f t="shared" si="61"/>
        <v>5.5E-2</v>
      </c>
    </row>
    <row r="308" spans="2:17" x14ac:dyDescent="0.2">
      <c r="B308" s="599" t="s">
        <v>1206</v>
      </c>
      <c r="E308" s="601">
        <f>E152</f>
        <v>0</v>
      </c>
      <c r="F308" s="601">
        <f t="shared" ref="F308:P308" si="62">F152</f>
        <v>0</v>
      </c>
      <c r="G308" s="601">
        <f t="shared" si="62"/>
        <v>-13.3</v>
      </c>
      <c r="H308" s="601">
        <f t="shared" si="62"/>
        <v>-19.3</v>
      </c>
      <c r="I308" s="601">
        <f t="shared" si="62"/>
        <v>-25.7</v>
      </c>
      <c r="J308" s="601">
        <f t="shared" si="62"/>
        <v>11.76024544587133</v>
      </c>
      <c r="K308" s="601">
        <f t="shared" si="62"/>
        <v>17.019261314138536</v>
      </c>
      <c r="L308" s="601">
        <f t="shared" si="62"/>
        <v>20.288878921305511</v>
      </c>
      <c r="M308" s="601">
        <f t="shared" si="62"/>
        <v>22.566153009220059</v>
      </c>
      <c r="N308" s="601">
        <f t="shared" si="62"/>
        <v>24.616354572556524</v>
      </c>
      <c r="O308" s="601">
        <f t="shared" si="62"/>
        <v>26.023330835155917</v>
      </c>
      <c r="P308" s="601">
        <f t="shared" si="62"/>
        <v>27.533813335581151</v>
      </c>
    </row>
    <row r="309" spans="2:17" x14ac:dyDescent="0.2">
      <c r="B309" s="599" t="s">
        <v>1343</v>
      </c>
      <c r="E309" s="601">
        <f>E154+E155</f>
        <v>0</v>
      </c>
      <c r="F309" s="601">
        <f t="shared" ref="F309:P309" si="63">F154+F155</f>
        <v>0</v>
      </c>
      <c r="G309" s="601">
        <f t="shared" si="63"/>
        <v>-3.3</v>
      </c>
      <c r="H309" s="601">
        <f t="shared" si="63"/>
        <v>-6.1000000000000005</v>
      </c>
      <c r="I309" s="601">
        <f t="shared" si="63"/>
        <v>-9</v>
      </c>
      <c r="J309" s="601">
        <f t="shared" si="63"/>
        <v>-10.021676216280451</v>
      </c>
      <c r="K309" s="601">
        <f t="shared" si="63"/>
        <v>-10.522760027094474</v>
      </c>
      <c r="L309" s="601">
        <f t="shared" si="63"/>
        <v>-11.048898028449198</v>
      </c>
      <c r="M309" s="601">
        <f t="shared" si="63"/>
        <v>-10.611445734225004</v>
      </c>
      <c r="N309" s="601">
        <f t="shared" si="63"/>
        <v>-11.142018020936252</v>
      </c>
      <c r="O309" s="601">
        <f t="shared" si="63"/>
        <v>-11.699118921983068</v>
      </c>
      <c r="P309" s="601">
        <f t="shared" si="63"/>
        <v>-12.28407486808222</v>
      </c>
    </row>
    <row r="310" spans="2:17" x14ac:dyDescent="0.2">
      <c r="B310" s="600" t="s">
        <v>1259</v>
      </c>
      <c r="E310" s="602">
        <f>E308+E309</f>
        <v>0</v>
      </c>
      <c r="F310" s="602">
        <f t="shared" ref="F310:P310" si="64">F308+F309</f>
        <v>0</v>
      </c>
      <c r="G310" s="602">
        <f t="shared" si="64"/>
        <v>-16.600000000000001</v>
      </c>
      <c r="H310" s="602">
        <f t="shared" si="64"/>
        <v>-25.400000000000002</v>
      </c>
      <c r="I310" s="602">
        <f t="shared" si="64"/>
        <v>-34.700000000000003</v>
      </c>
      <c r="J310" s="602">
        <f t="shared" si="64"/>
        <v>1.7385692295908797</v>
      </c>
      <c r="K310" s="602">
        <f t="shared" si="64"/>
        <v>6.4965012870440617</v>
      </c>
      <c r="L310" s="602">
        <f t="shared" si="64"/>
        <v>9.2399808928563125</v>
      </c>
      <c r="M310" s="602">
        <f t="shared" si="64"/>
        <v>11.954707274995055</v>
      </c>
      <c r="N310" s="602">
        <f t="shared" si="64"/>
        <v>13.474336551620272</v>
      </c>
      <c r="O310" s="602">
        <f t="shared" si="64"/>
        <v>14.324211913172849</v>
      </c>
      <c r="P310" s="602">
        <f t="shared" si="64"/>
        <v>15.249738467498931</v>
      </c>
    </row>
    <row r="311" spans="2:17" x14ac:dyDescent="0.2">
      <c r="B311" s="599" t="s">
        <v>1344</v>
      </c>
      <c r="E311" s="603" t="str">
        <f t="shared" ref="E311:P311" si="65">IF(E68=0,"",E310/E68)</f>
        <v/>
      </c>
      <c r="F311" s="603" t="str">
        <f t="shared" si="65"/>
        <v/>
      </c>
      <c r="G311" s="603" t="str">
        <f t="shared" si="65"/>
        <v/>
      </c>
      <c r="H311" s="603">
        <f t="shared" si="65"/>
        <v>-0.18870728083209512</v>
      </c>
      <c r="I311" s="603">
        <f t="shared" si="65"/>
        <v>-0.23865199449793673</v>
      </c>
      <c r="J311" s="603">
        <f t="shared" si="65"/>
        <v>1.0431530162309898E-2</v>
      </c>
      <c r="K311" s="603">
        <f t="shared" si="65"/>
        <v>3.7123272988391229E-2</v>
      </c>
      <c r="L311" s="603">
        <f t="shared" si="65"/>
        <v>5.0286163631917569E-2</v>
      </c>
      <c r="M311" s="603">
        <f t="shared" si="65"/>
        <v>6.1962235551379231E-2</v>
      </c>
      <c r="N311" s="603">
        <f t="shared" si="65"/>
        <v>6.6512952047518059E-2</v>
      </c>
      <c r="O311" s="603">
        <f t="shared" si="65"/>
        <v>6.7341110085148592E-2</v>
      </c>
      <c r="P311" s="603">
        <f t="shared" si="65"/>
        <v>6.8278289144242568E-2</v>
      </c>
    </row>
  </sheetData>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
  <sheetViews>
    <sheetView workbookViewId="0">
      <selection activeCell="G38" sqref="G38"/>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B105-DC6B-45D5-BE1A-2C5E9BEC8682}">
  <sheetPr>
    <tabColor theme="6" tint="0.79998168889431442"/>
    <pageSetUpPr autoPageBreaks="0"/>
  </sheetPr>
  <dimension ref="A2:DM20"/>
  <sheetViews>
    <sheetView showGridLines="0" zoomScale="115" zoomScaleNormal="115" workbookViewId="0">
      <selection activeCell="AG7" sqref="AG7"/>
    </sheetView>
  </sheetViews>
  <sheetFormatPr defaultRowHeight="15" outlineLevelCol="1" x14ac:dyDescent="0.25"/>
  <cols>
    <col min="1" max="1" width="17.42578125" bestFit="1" customWidth="1"/>
    <col min="2" max="2" width="1.7109375" customWidth="1"/>
    <col min="3" max="3" width="27.85546875" customWidth="1"/>
    <col min="4" max="4" width="2.7109375" hidden="1" customWidth="1" outlineLevel="1"/>
    <col min="5" max="28" width="9.140625" hidden="1" customWidth="1" outlineLevel="1"/>
    <col min="29" max="29" width="2.7109375" hidden="1" customWidth="1" outlineLevel="1"/>
    <col min="30" max="30" width="9.140625" customWidth="1" collapsed="1"/>
    <col min="31" max="31" width="9.140625" customWidth="1"/>
    <col min="32" max="32" width="10.7109375" customWidth="1"/>
    <col min="33" max="33" width="9.140625" customWidth="1"/>
    <col min="34" max="34" width="10.7109375" customWidth="1"/>
    <col min="35" max="35" width="9.140625" hidden="1" customWidth="1" outlineLevel="1"/>
    <col min="36" max="36" width="10" hidden="1" customWidth="1" outlineLevel="1"/>
    <col min="37" max="37" width="1.7109375" customWidth="1" collapsed="1"/>
    <col min="38" max="38" width="33" customWidth="1"/>
    <col min="39" max="39" width="2.7109375" customWidth="1"/>
    <col min="42" max="42" width="22.28515625" bestFit="1" customWidth="1"/>
    <col min="43" max="43" width="2.7109375" customWidth="1"/>
    <col min="44" max="67" width="10.28515625" customWidth="1"/>
    <col min="68" max="68" width="2.7109375" customWidth="1"/>
    <col min="93" max="93" width="2.7109375" customWidth="1"/>
    <col min="118" max="118" width="2.7109375" customWidth="1"/>
  </cols>
  <sheetData>
    <row r="2" spans="1:117" x14ac:dyDescent="0.25">
      <c r="C2" s="507" t="s">
        <v>1326</v>
      </c>
      <c r="AD2" s="507" t="s">
        <v>1324</v>
      </c>
      <c r="AE2" s="526" t="str">
        <f>"4Q26A"</f>
        <v>4Q26A</v>
      </c>
      <c r="AG2" s="507" t="s">
        <v>1325</v>
      </c>
      <c r="AI2" s="525" t="s">
        <v>1262</v>
      </c>
      <c r="AL2" s="527" t="s">
        <v>1264</v>
      </c>
    </row>
    <row r="4" spans="1:117" s="345" customFormat="1" ht="20.100000000000001" customHeight="1" x14ac:dyDescent="0.25">
      <c r="C4" s="346" t="str">
        <f>"BBT " &amp; $C$2 &amp; " - First Take"</f>
        <v>BBT 4Q26 - First Take</v>
      </c>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BQ4" s="347"/>
      <c r="BR4" s="347"/>
      <c r="BS4" s="347"/>
      <c r="BT4" s="347"/>
      <c r="BU4" s="347"/>
      <c r="BV4" s="347"/>
      <c r="BW4" s="347"/>
      <c r="BX4" s="347"/>
      <c r="BY4" s="347"/>
      <c r="BZ4" s="347"/>
      <c r="CA4" s="347"/>
      <c r="CB4" s="347"/>
      <c r="CC4" s="347"/>
      <c r="CD4" s="347"/>
      <c r="CE4" s="347"/>
      <c r="CF4" s="347"/>
      <c r="CG4" s="347"/>
      <c r="CH4" s="347"/>
      <c r="CI4" s="347"/>
      <c r="CJ4" s="347"/>
      <c r="CK4" s="347"/>
      <c r="CL4" s="347"/>
      <c r="CM4" s="347"/>
      <c r="CN4" s="347"/>
      <c r="CP4" s="347"/>
      <c r="CQ4" s="347"/>
      <c r="CR4" s="347"/>
      <c r="CS4" s="347"/>
      <c r="CT4" s="347"/>
      <c r="CU4" s="347"/>
      <c r="CV4" s="347"/>
      <c r="CW4" s="347"/>
      <c r="CX4" s="347"/>
      <c r="CY4" s="347"/>
      <c r="CZ4" s="347"/>
      <c r="DA4" s="347"/>
      <c r="DB4" s="347"/>
      <c r="DC4" s="347"/>
      <c r="DD4" s="347"/>
      <c r="DE4" s="347"/>
      <c r="DF4" s="347"/>
      <c r="DG4" s="347"/>
      <c r="DH4" s="347"/>
      <c r="DI4" s="347"/>
      <c r="DJ4" s="347"/>
      <c r="DK4" s="347"/>
      <c r="DL4" s="347"/>
      <c r="DM4" s="347"/>
    </row>
    <row r="5" spans="1:117" ht="30" customHeight="1" x14ac:dyDescent="0.25">
      <c r="A5" s="345"/>
      <c r="C5" s="348"/>
      <c r="D5" s="349"/>
      <c r="E5" s="349" t="str">
        <f>QTR!M2</f>
        <v>1Q24A</v>
      </c>
      <c r="F5" s="349" t="str">
        <f>QTR!N2</f>
        <v>2Q24A</v>
      </c>
      <c r="G5" s="349" t="str">
        <f>QTR!O2</f>
        <v>3Q24A</v>
      </c>
      <c r="H5" s="349" t="str">
        <f>QTR!P2</f>
        <v>4Q24A</v>
      </c>
      <c r="I5" s="349" t="str">
        <f>QTR!Q2</f>
        <v>1Q25A</v>
      </c>
      <c r="J5" s="349" t="str">
        <f>QTR!R2</f>
        <v>2Q25A</v>
      </c>
      <c r="K5" s="349" t="str">
        <f>QTR!S2</f>
        <v>3Q25A</v>
      </c>
      <c r="L5" s="349" t="str">
        <f>QTR!T2</f>
        <v>4Q25A</v>
      </c>
      <c r="M5" s="349" t="str">
        <f>QTR!U2</f>
        <v>1Q26A</v>
      </c>
      <c r="N5" s="349" t="str">
        <f>QTR!V2</f>
        <v>2Q26A</v>
      </c>
      <c r="O5" s="349" t="str">
        <f>QTR!W2</f>
        <v>3Q26E</v>
      </c>
      <c r="P5" s="349" t="str">
        <f>QTR!X2</f>
        <v>4Q26E</v>
      </c>
      <c r="Q5" s="349" t="str">
        <f>QTR!Y2</f>
        <v>1Q27E</v>
      </c>
      <c r="R5" s="349" t="str">
        <f>QTR!Z2</f>
        <v>2Q27E</v>
      </c>
      <c r="S5" s="349" t="str">
        <f>QTR!AA2</f>
        <v>3Q27E</v>
      </c>
      <c r="T5" s="349" t="str">
        <f>QTR!AB2</f>
        <v>4Q27E</v>
      </c>
      <c r="U5" s="349" t="str">
        <f>QTR!AC2</f>
        <v>1Q28E</v>
      </c>
      <c r="V5" s="349" t="str">
        <f>QTR!AD2</f>
        <v>2Q28E</v>
      </c>
      <c r="W5" s="349" t="str">
        <f>QTR!AE2</f>
        <v>3Q28E</v>
      </c>
      <c r="X5" s="349" t="str">
        <f>QTR!AF2</f>
        <v>4Q28E</v>
      </c>
      <c r="Y5" s="349" t="str">
        <f>QTR!AG2</f>
        <v>1Q29E</v>
      </c>
      <c r="Z5" s="349" t="str">
        <f>QTR!AH2</f>
        <v>2Q29E</v>
      </c>
      <c r="AA5" s="349" t="str">
        <f>QTR!AI2</f>
        <v>3Q29E</v>
      </c>
      <c r="AB5" s="349" t="str">
        <f>QTR!AJ2</f>
        <v>4Q29E</v>
      </c>
      <c r="AC5" s="349"/>
      <c r="AD5" s="350" t="str">
        <f>AD$2</f>
        <v>4Q25A</v>
      </c>
      <c r="AE5" s="348" t="str">
        <f>AE$2</f>
        <v>4Q26A</v>
      </c>
      <c r="AF5" s="351" t="s">
        <v>1265</v>
      </c>
      <c r="AG5" s="352" t="str">
        <f>"E&amp;Pe "&amp;AG$2</f>
        <v>E&amp;Pe 4Q26E</v>
      </c>
      <c r="AH5" s="351" t="s">
        <v>1266</v>
      </c>
      <c r="AI5" s="352" t="str">
        <f>"VA Cons.  "&amp;AG$2</f>
        <v>VA Cons.  4Q26E</v>
      </c>
      <c r="AJ5" s="353" t="s">
        <v>1266</v>
      </c>
      <c r="AK5" s="354"/>
      <c r="AN5" s="356"/>
      <c r="AO5" s="356"/>
      <c r="AP5" s="356"/>
      <c r="AQ5" s="356"/>
      <c r="AR5" s="355" t="s">
        <v>1267</v>
      </c>
      <c r="AS5" s="355" t="s">
        <v>1268</v>
      </c>
      <c r="AT5" s="355" t="s">
        <v>1269</v>
      </c>
      <c r="AU5" s="355" t="s">
        <v>1270</v>
      </c>
      <c r="AV5" s="355" t="s">
        <v>1262</v>
      </c>
      <c r="AW5" s="355" t="s">
        <v>1</v>
      </c>
      <c r="AX5" s="355" t="s">
        <v>1271</v>
      </c>
      <c r="AY5" s="355" t="s">
        <v>1272</v>
      </c>
      <c r="AZ5" s="355" t="s">
        <v>1273</v>
      </c>
      <c r="BA5" s="355" t="s">
        <v>1274</v>
      </c>
      <c r="BB5" s="355" t="s">
        <v>1275</v>
      </c>
      <c r="BC5" s="355" t="s">
        <v>1276</v>
      </c>
      <c r="BD5" s="355" t="s">
        <v>1277</v>
      </c>
      <c r="BE5" s="355" t="s">
        <v>1278</v>
      </c>
      <c r="BF5" s="355" t="s">
        <v>1279</v>
      </c>
      <c r="BG5" s="355" t="s">
        <v>1280</v>
      </c>
      <c r="BH5" s="355" t="s">
        <v>1281</v>
      </c>
      <c r="BI5" s="355" t="s">
        <v>1282</v>
      </c>
      <c r="BJ5" s="355" t="s">
        <v>1283</v>
      </c>
      <c r="BK5" s="355" t="s">
        <v>1284</v>
      </c>
      <c r="BL5" s="355" t="s">
        <v>1285</v>
      </c>
      <c r="BM5" s="355" t="s">
        <v>1286</v>
      </c>
      <c r="BN5" s="355" t="s">
        <v>1287</v>
      </c>
      <c r="BO5" s="355" t="s">
        <v>1288</v>
      </c>
      <c r="BQ5" s="355" t="s">
        <v>1267</v>
      </c>
      <c r="BR5" s="355" t="s">
        <v>1268</v>
      </c>
      <c r="BS5" s="355" t="s">
        <v>1269</v>
      </c>
      <c r="BT5" s="355" t="s">
        <v>1270</v>
      </c>
      <c r="BU5" s="355" t="s">
        <v>1262</v>
      </c>
      <c r="BV5" s="355" t="s">
        <v>1</v>
      </c>
      <c r="BW5" s="355" t="s">
        <v>1271</v>
      </c>
      <c r="BX5" s="355" t="s">
        <v>1272</v>
      </c>
      <c r="BY5" s="355" t="s">
        <v>1273</v>
      </c>
      <c r="BZ5" s="355" t="s">
        <v>1274</v>
      </c>
      <c r="CA5" s="355" t="s">
        <v>1275</v>
      </c>
      <c r="CB5" s="355" t="s">
        <v>1276</v>
      </c>
      <c r="CC5" s="355" t="s">
        <v>1277</v>
      </c>
      <c r="CD5" s="355" t="s">
        <v>1278</v>
      </c>
      <c r="CE5" s="355" t="s">
        <v>1279</v>
      </c>
      <c r="CF5" s="355" t="s">
        <v>1280</v>
      </c>
      <c r="CG5" s="355" t="s">
        <v>1281</v>
      </c>
      <c r="CH5" s="355" t="s">
        <v>1282</v>
      </c>
      <c r="CI5" s="355" t="s">
        <v>1283</v>
      </c>
      <c r="CJ5" s="355" t="s">
        <v>1284</v>
      </c>
      <c r="CK5" s="355" t="s">
        <v>1285</v>
      </c>
      <c r="CL5" s="355" t="s">
        <v>1286</v>
      </c>
      <c r="CM5" s="355" t="s">
        <v>1287</v>
      </c>
      <c r="CN5" s="355" t="s">
        <v>1288</v>
      </c>
      <c r="CP5" s="355" t="s">
        <v>1267</v>
      </c>
      <c r="CQ5" s="355" t="s">
        <v>1268</v>
      </c>
      <c r="CR5" s="355" t="s">
        <v>1269</v>
      </c>
      <c r="CS5" s="355" t="s">
        <v>1270</v>
      </c>
      <c r="CT5" s="355" t="s">
        <v>1262</v>
      </c>
      <c r="CU5" s="355" t="s">
        <v>1</v>
      </c>
      <c r="CV5" s="355" t="s">
        <v>1271</v>
      </c>
      <c r="CW5" s="355" t="s">
        <v>1272</v>
      </c>
      <c r="CX5" s="355" t="s">
        <v>1273</v>
      </c>
      <c r="CY5" s="355" t="s">
        <v>1274</v>
      </c>
      <c r="CZ5" s="355" t="s">
        <v>1275</v>
      </c>
      <c r="DA5" s="355" t="s">
        <v>1276</v>
      </c>
      <c r="DB5" s="355" t="s">
        <v>1277</v>
      </c>
      <c r="DC5" s="355" t="s">
        <v>1278</v>
      </c>
      <c r="DD5" s="355" t="s">
        <v>1279</v>
      </c>
      <c r="DE5" s="355" t="s">
        <v>1280</v>
      </c>
      <c r="DF5" s="355" t="s">
        <v>1281</v>
      </c>
      <c r="DG5" s="355" t="s">
        <v>1282</v>
      </c>
      <c r="DH5" s="355" t="s">
        <v>1283</v>
      </c>
      <c r="DI5" s="355" t="s">
        <v>1284</v>
      </c>
      <c r="DJ5" s="355" t="s">
        <v>1285</v>
      </c>
      <c r="DK5" s="355" t="s">
        <v>1286</v>
      </c>
      <c r="DL5" s="355" t="s">
        <v>1287</v>
      </c>
      <c r="DM5" s="355" t="s">
        <v>1288</v>
      </c>
    </row>
    <row r="6" spans="1:117" x14ac:dyDescent="0.25">
      <c r="C6" s="508" t="s">
        <v>1294</v>
      </c>
      <c r="D6" s="360"/>
      <c r="E6" s="360"/>
      <c r="F6" s="360"/>
      <c r="G6" s="360"/>
      <c r="H6" s="360"/>
      <c r="I6" s="360"/>
      <c r="J6" s="360"/>
      <c r="K6" s="360"/>
      <c r="L6" s="360"/>
      <c r="M6" s="360"/>
      <c r="N6" s="360"/>
      <c r="O6" s="360"/>
      <c r="P6" s="360"/>
      <c r="Q6" s="360"/>
      <c r="R6" s="360"/>
      <c r="S6" s="360"/>
      <c r="T6" s="360"/>
      <c r="U6" s="360"/>
      <c r="V6" s="360"/>
      <c r="W6" s="360"/>
      <c r="X6" s="360"/>
      <c r="Y6" s="360"/>
      <c r="Z6" s="360"/>
      <c r="AA6" s="360"/>
      <c r="AB6" s="360"/>
      <c r="AC6" s="360"/>
      <c r="AD6" s="514"/>
      <c r="AE6" s="513"/>
      <c r="AF6" s="362"/>
      <c r="AG6" s="514"/>
      <c r="AH6" s="362"/>
      <c r="AI6" s="361"/>
      <c r="AJ6" s="362"/>
      <c r="AK6" s="363"/>
      <c r="AL6" s="364"/>
      <c r="BQ6" s="369"/>
      <c r="BR6" s="369"/>
      <c r="BS6" s="369"/>
      <c r="BT6" s="369"/>
      <c r="BU6" s="369"/>
      <c r="BV6" s="369"/>
      <c r="BW6" s="369"/>
      <c r="BX6" s="369"/>
      <c r="BY6" s="369"/>
      <c r="BZ6" s="369"/>
      <c r="CA6" s="369"/>
      <c r="CB6" s="369"/>
      <c r="CC6" s="369"/>
      <c r="CD6" s="369"/>
      <c r="CE6" s="369"/>
      <c r="CF6" s="369"/>
      <c r="CG6" s="369"/>
      <c r="CH6" s="369"/>
      <c r="CI6" s="369"/>
      <c r="CJ6" s="369"/>
      <c r="CK6" s="369"/>
      <c r="CL6" s="369"/>
      <c r="CM6" s="369"/>
      <c r="CN6" s="369"/>
      <c r="CP6" s="369"/>
      <c r="CQ6" s="369"/>
      <c r="CR6" s="369"/>
      <c r="CS6" s="369"/>
      <c r="CT6" s="369"/>
      <c r="CU6" s="369"/>
      <c r="CV6" s="369"/>
      <c r="CW6" s="369"/>
      <c r="CX6" s="369"/>
      <c r="CY6" s="369"/>
      <c r="CZ6" s="369"/>
      <c r="DA6" s="369"/>
      <c r="DB6" s="369"/>
      <c r="DC6" s="369"/>
      <c r="DD6" s="369"/>
      <c r="DE6" s="369"/>
      <c r="DF6" s="369"/>
      <c r="DG6" s="369"/>
      <c r="DH6" s="369"/>
      <c r="DI6" s="369"/>
      <c r="DJ6" s="369"/>
      <c r="DK6" s="369"/>
      <c r="DL6" s="369"/>
      <c r="DM6" s="369"/>
    </row>
    <row r="7" spans="1:117" x14ac:dyDescent="0.25">
      <c r="C7" s="509" t="s">
        <v>35</v>
      </c>
      <c r="D7" s="360"/>
      <c r="E7" s="360">
        <f>QTR!M29</f>
        <v>143.9</v>
      </c>
      <c r="F7" s="360">
        <f>QTR!N29</f>
        <v>154.80000000000001</v>
      </c>
      <c r="G7" s="360">
        <f>QTR!O29</f>
        <v>139.19999999999999</v>
      </c>
      <c r="H7" s="360">
        <f>QTR!P29</f>
        <v>153.6</v>
      </c>
      <c r="I7" s="360">
        <f>QTR!Q29</f>
        <v>286.60000000000002</v>
      </c>
      <c r="J7" s="360">
        <f>QTR!R29</f>
        <v>357</v>
      </c>
      <c r="K7" s="360">
        <f>QTR!S29</f>
        <v>376</v>
      </c>
      <c r="L7" s="360">
        <f>QTR!T29</f>
        <v>399.5</v>
      </c>
      <c r="M7" s="360">
        <f>QTR!U29</f>
        <v>363</v>
      </c>
      <c r="N7" s="360">
        <f>QTR!V29</f>
        <v>444.4</v>
      </c>
      <c r="O7" s="360">
        <f>QTR!W29</f>
        <v>383</v>
      </c>
      <c r="P7" s="360">
        <f>QTR!X29</f>
        <v>404.3</v>
      </c>
      <c r="Q7" s="360">
        <f>QTR!Y29</f>
        <v>413.82000000000005</v>
      </c>
      <c r="R7" s="360">
        <f>QTR!Z29</f>
        <v>473.28599999999994</v>
      </c>
      <c r="S7" s="360">
        <f>QTR!AA29</f>
        <v>0</v>
      </c>
      <c r="T7" s="360">
        <f>QTR!AB29</f>
        <v>0</v>
      </c>
      <c r="U7" s="360">
        <f>QTR!AC29</f>
        <v>0</v>
      </c>
      <c r="V7" s="360">
        <f>QTR!AD29</f>
        <v>0</v>
      </c>
      <c r="W7" s="360">
        <f>QTR!AE29</f>
        <v>0</v>
      </c>
      <c r="X7" s="360">
        <f>QTR!AF29</f>
        <v>0</v>
      </c>
      <c r="Y7" s="360">
        <f>QTR!AG29</f>
        <v>0</v>
      </c>
      <c r="Z7" s="360">
        <f>QTR!AH29</f>
        <v>0</v>
      </c>
      <c r="AA7" s="360">
        <f>QTR!AI29</f>
        <v>0</v>
      </c>
      <c r="AB7" s="360">
        <f>QTR!AJ29</f>
        <v>0</v>
      </c>
      <c r="AC7" s="360"/>
      <c r="AD7" s="361">
        <f>_xlfn.SINGLE(_xlfn.XLOOKUP(AD$2,$E$5:$AB$5,$E7:$AB7))</f>
        <v>399.5</v>
      </c>
      <c r="AE7" s="360">
        <v>404.3</v>
      </c>
      <c r="AF7" s="362">
        <f>AE7/AD7-1</f>
        <v>1.201501877346689E-2</v>
      </c>
      <c r="AG7" s="361">
        <f t="shared" ref="AG7:AG8" si="0">_xlfn.XLOOKUP(AG$2,$E$5:$AB$5,$E7:$AB7)</f>
        <v>404.3</v>
      </c>
      <c r="AH7" s="362">
        <f>$AE7/AG7-1</f>
        <v>0</v>
      </c>
      <c r="AI7" s="516"/>
      <c r="AJ7" s="362"/>
      <c r="AK7" s="363"/>
      <c r="AL7" s="364"/>
      <c r="BQ7" s="369"/>
      <c r="BR7" s="369"/>
      <c r="BS7" s="369"/>
      <c r="BT7" s="369"/>
      <c r="BU7" s="369"/>
      <c r="BV7" s="369"/>
      <c r="BW7" s="369"/>
      <c r="BX7" s="369"/>
      <c r="BY7" s="369"/>
      <c r="BZ7" s="369"/>
      <c r="CA7" s="369"/>
      <c r="CB7" s="369"/>
      <c r="CC7" s="369"/>
      <c r="CD7" s="369"/>
      <c r="CE7" s="369"/>
      <c r="CF7" s="369"/>
      <c r="CG7" s="369"/>
      <c r="CH7" s="369"/>
      <c r="CI7" s="369"/>
      <c r="CJ7" s="369"/>
      <c r="CK7" s="369"/>
      <c r="CL7" s="369"/>
      <c r="CM7" s="369"/>
      <c r="CN7" s="369"/>
      <c r="CP7" s="369"/>
      <c r="CQ7" s="369"/>
      <c r="CR7" s="369"/>
      <c r="CS7" s="369"/>
      <c r="CT7" s="369"/>
      <c r="CU7" s="369"/>
      <c r="CV7" s="369"/>
      <c r="CW7" s="369"/>
      <c r="CX7" s="369"/>
      <c r="CY7" s="369"/>
      <c r="CZ7" s="369"/>
      <c r="DA7" s="369"/>
      <c r="DB7" s="369"/>
      <c r="DC7" s="369"/>
      <c r="DD7" s="369"/>
      <c r="DE7" s="369"/>
      <c r="DF7" s="369"/>
      <c r="DG7" s="369"/>
      <c r="DH7" s="369"/>
      <c r="DI7" s="369"/>
      <c r="DJ7" s="369"/>
      <c r="DK7" s="369"/>
      <c r="DL7" s="369"/>
      <c r="DM7" s="369"/>
    </row>
    <row r="8" spans="1:117" x14ac:dyDescent="0.25">
      <c r="C8" s="509" t="s">
        <v>42</v>
      </c>
      <c r="D8" s="360"/>
      <c r="E8" s="360">
        <f>QTR!M35</f>
        <v>18.8</v>
      </c>
      <c r="F8" s="360">
        <f>QTR!N35</f>
        <v>21.2</v>
      </c>
      <c r="G8" s="360">
        <f>QTR!O35</f>
        <v>18.600000000000001</v>
      </c>
      <c r="H8" s="360">
        <f>QTR!P35</f>
        <v>20.8</v>
      </c>
      <c r="I8" s="360">
        <f>QTR!Q35</f>
        <v>38.799999999999997</v>
      </c>
      <c r="J8" s="360">
        <f>QTR!R35</f>
        <v>52.2</v>
      </c>
      <c r="K8" s="360">
        <f>QTR!S35</f>
        <v>51.7</v>
      </c>
      <c r="L8" s="360">
        <f>QTR!T35</f>
        <v>53.1</v>
      </c>
      <c r="M8" s="360">
        <f>QTR!U35</f>
        <v>51.8</v>
      </c>
      <c r="N8" s="360">
        <f>QTR!V35</f>
        <v>55.9</v>
      </c>
      <c r="O8" s="360">
        <f>QTR!W35</f>
        <v>50.3</v>
      </c>
      <c r="P8" s="360">
        <f>QTR!X35</f>
        <v>57.1</v>
      </c>
      <c r="Q8" s="360">
        <f>QTR!Y35</f>
        <v>59.176259999999999</v>
      </c>
      <c r="R8" s="360">
        <f>QTR!Z35</f>
        <v>67.67989799999998</v>
      </c>
      <c r="S8" s="360">
        <f>QTR!AA35</f>
        <v>0</v>
      </c>
      <c r="T8" s="360">
        <f>QTR!AB35</f>
        <v>0</v>
      </c>
      <c r="U8" s="360">
        <f>QTR!AC35</f>
        <v>0</v>
      </c>
      <c r="V8" s="360">
        <f>QTR!AD35</f>
        <v>0</v>
      </c>
      <c r="W8" s="360">
        <f>QTR!AE35</f>
        <v>0</v>
      </c>
      <c r="X8" s="360">
        <f>QTR!AF35</f>
        <v>0</v>
      </c>
      <c r="Y8" s="360">
        <f>QTR!AG35</f>
        <v>0</v>
      </c>
      <c r="Z8" s="360">
        <f>QTR!AH35</f>
        <v>0</v>
      </c>
      <c r="AA8" s="360">
        <f>QTR!AI35</f>
        <v>0</v>
      </c>
      <c r="AB8" s="360">
        <f>QTR!AJ35</f>
        <v>0</v>
      </c>
      <c r="AC8" s="360"/>
      <c r="AD8" s="361">
        <f>_xlfn.SINGLE(_xlfn.XLOOKUP(AD$2,$E$5:$AB$5,$E8:$AB8))</f>
        <v>53.1</v>
      </c>
      <c r="AE8" s="360">
        <v>57.1</v>
      </c>
      <c r="AF8" s="362">
        <f>AE8/AD8-1</f>
        <v>7.5329566854990482E-2</v>
      </c>
      <c r="AG8" s="361">
        <f t="shared" si="0"/>
        <v>57.1</v>
      </c>
      <c r="AH8" s="362">
        <f>$AE8/AG8-1</f>
        <v>0</v>
      </c>
      <c r="AI8" s="516"/>
      <c r="AJ8" s="362"/>
      <c r="AK8" s="363"/>
      <c r="AL8" s="364"/>
      <c r="BQ8" s="369"/>
      <c r="BR8" s="369"/>
      <c r="BS8" s="369"/>
      <c r="BT8" s="369"/>
      <c r="BU8" s="369"/>
      <c r="BV8" s="369"/>
      <c r="BW8" s="369"/>
      <c r="BX8" s="369"/>
      <c r="BY8" s="369"/>
      <c r="BZ8" s="369"/>
      <c r="CA8" s="369"/>
      <c r="CB8" s="369"/>
      <c r="CC8" s="369"/>
      <c r="CD8" s="369"/>
      <c r="CE8" s="369"/>
      <c r="CF8" s="369"/>
      <c r="CG8" s="369"/>
      <c r="CH8" s="369"/>
      <c r="CI8" s="369"/>
      <c r="CJ8" s="369"/>
      <c r="CK8" s="369"/>
      <c r="CL8" s="369"/>
      <c r="CM8" s="369"/>
      <c r="CN8" s="369"/>
      <c r="CP8" s="369"/>
      <c r="CQ8" s="369"/>
      <c r="CR8" s="369"/>
      <c r="CS8" s="369"/>
      <c r="CT8" s="369"/>
      <c r="CU8" s="369"/>
      <c r="CV8" s="369"/>
      <c r="CW8" s="369"/>
      <c r="CX8" s="369"/>
      <c r="CY8" s="369"/>
      <c r="CZ8" s="369"/>
      <c r="DA8" s="369"/>
      <c r="DB8" s="369"/>
      <c r="DC8" s="369"/>
      <c r="DD8" s="369"/>
      <c r="DE8" s="369"/>
      <c r="DF8" s="369"/>
      <c r="DG8" s="369"/>
      <c r="DH8" s="369"/>
      <c r="DI8" s="369"/>
      <c r="DJ8" s="369"/>
      <c r="DK8" s="369"/>
      <c r="DL8" s="369"/>
      <c r="DM8" s="369"/>
    </row>
    <row r="9" spans="1:117" x14ac:dyDescent="0.25">
      <c r="C9" s="510" t="s">
        <v>1295</v>
      </c>
      <c r="E9" s="517">
        <f t="shared" ref="E9:AB9" si="1">E8/E7</f>
        <v>0.13064628214037527</v>
      </c>
      <c r="F9" s="517">
        <f t="shared" si="1"/>
        <v>0.13695090439276483</v>
      </c>
      <c r="G9" s="517">
        <f t="shared" si="1"/>
        <v>0.13362068965517243</v>
      </c>
      <c r="H9" s="517">
        <f t="shared" si="1"/>
        <v>0.13541666666666669</v>
      </c>
      <c r="I9" s="517">
        <f t="shared" si="1"/>
        <v>0.13538032100488484</v>
      </c>
      <c r="J9" s="517">
        <f t="shared" si="1"/>
        <v>0.14621848739495799</v>
      </c>
      <c r="K9" s="517">
        <f t="shared" si="1"/>
        <v>0.13750000000000001</v>
      </c>
      <c r="L9" s="517">
        <f t="shared" si="1"/>
        <v>0.13291614518147685</v>
      </c>
      <c r="M9" s="517">
        <f t="shared" si="1"/>
        <v>0.14269972451790633</v>
      </c>
      <c r="N9" s="517">
        <f t="shared" si="1"/>
        <v>0.1257875787578758</v>
      </c>
      <c r="O9" s="517">
        <f t="shared" si="1"/>
        <v>0.13133159268929503</v>
      </c>
      <c r="P9" s="517">
        <f t="shared" si="1"/>
        <v>0.14123175859510265</v>
      </c>
      <c r="Q9" s="517">
        <f t="shared" si="1"/>
        <v>0.14299999999999999</v>
      </c>
      <c r="R9" s="517">
        <f t="shared" si="1"/>
        <v>0.14299999999999999</v>
      </c>
      <c r="S9" s="517" t="e">
        <f t="shared" si="1"/>
        <v>#DIV/0!</v>
      </c>
      <c r="T9" s="517" t="e">
        <f t="shared" si="1"/>
        <v>#DIV/0!</v>
      </c>
      <c r="U9" s="517" t="e">
        <f t="shared" si="1"/>
        <v>#DIV/0!</v>
      </c>
      <c r="V9" s="517" t="e">
        <f t="shared" si="1"/>
        <v>#DIV/0!</v>
      </c>
      <c r="W9" s="517" t="e">
        <f t="shared" si="1"/>
        <v>#DIV/0!</v>
      </c>
      <c r="X9" s="517" t="e">
        <f t="shared" si="1"/>
        <v>#DIV/0!</v>
      </c>
      <c r="Y9" s="517" t="e">
        <f t="shared" si="1"/>
        <v>#DIV/0!</v>
      </c>
      <c r="Z9" s="517" t="e">
        <f t="shared" si="1"/>
        <v>#DIV/0!</v>
      </c>
      <c r="AA9" s="517" t="e">
        <f t="shared" si="1"/>
        <v>#DIV/0!</v>
      </c>
      <c r="AB9" s="517" t="e">
        <f t="shared" si="1"/>
        <v>#DIV/0!</v>
      </c>
      <c r="AD9" s="519">
        <f>_xlfn.XLOOKUP(AD$2,$E$5:$AB$5,$E9:$AB9)</f>
        <v>0.13291614518147685</v>
      </c>
      <c r="AE9" s="517">
        <f>AE8/AE7</f>
        <v>0.14123175859510265</v>
      </c>
      <c r="AF9" s="518">
        <f>(AE9-AD9)*100</f>
        <v>0.83156134136257998</v>
      </c>
      <c r="AG9" s="519">
        <f>_xlfn.XLOOKUP(AG$2,$E$5:$AB$5,$E9:$AB9)</f>
        <v>0.14123175859510265</v>
      </c>
      <c r="AH9" s="518">
        <f>($AE9-AG9)*100</f>
        <v>0</v>
      </c>
      <c r="AI9" s="519">
        <f>_xlfn.XLOOKUP(AI$2,$BQ$5:$CN$5,$BQ9:$CN9)</f>
        <v>0.48739495798319332</v>
      </c>
      <c r="AJ9" s="518">
        <f>($AE9-AI9)*100</f>
        <v>-34.61631993880907</v>
      </c>
      <c r="AR9" s="520" t="e">
        <f>#REF!/AR3</f>
        <v>#REF!</v>
      </c>
      <c r="AS9" s="520" t="e">
        <f>#REF!/AS3</f>
        <v>#REF!</v>
      </c>
      <c r="AT9" s="520" t="e">
        <f>#REF!/AT3</f>
        <v>#REF!</v>
      </c>
      <c r="AU9" s="520" t="e">
        <f>#REF!/AU3</f>
        <v>#REF!</v>
      </c>
      <c r="AV9" s="520" t="e">
        <f>#REF!/AV3</f>
        <v>#REF!</v>
      </c>
      <c r="AW9" s="520" t="e">
        <f>#REF!/AW3</f>
        <v>#REF!</v>
      </c>
      <c r="AX9" s="520" t="e">
        <f>#REF!/AX3</f>
        <v>#REF!</v>
      </c>
      <c r="AY9" s="520" t="e">
        <f>#REF!/AY3</f>
        <v>#REF!</v>
      </c>
      <c r="AZ9" s="520" t="e">
        <f>#REF!/AZ3</f>
        <v>#REF!</v>
      </c>
      <c r="BA9" s="520" t="e">
        <f>#REF!/BA3</f>
        <v>#REF!</v>
      </c>
      <c r="BB9" s="520" t="e">
        <f>#REF!/BB3</f>
        <v>#REF!</v>
      </c>
      <c r="BC9" s="520" t="e">
        <f>#REF!/BC3</f>
        <v>#REF!</v>
      </c>
      <c r="BD9" s="520" t="e">
        <f>#REF!/BD3</f>
        <v>#REF!</v>
      </c>
      <c r="BE9" s="520" t="e">
        <f>#REF!/BE3</f>
        <v>#REF!</v>
      </c>
      <c r="BF9" s="520" t="e">
        <f>#REF!/BF3</f>
        <v>#REF!</v>
      </c>
      <c r="BG9" s="520" t="e">
        <f>#REF!/BG3</f>
        <v>#REF!</v>
      </c>
      <c r="BH9" s="520" t="e">
        <f>#REF!/BH3</f>
        <v>#REF!</v>
      </c>
      <c r="BI9" s="520" t="e">
        <f>#REF!/BI3</f>
        <v>#REF!</v>
      </c>
      <c r="BJ9" s="520" t="e">
        <f>#REF!/BJ3</f>
        <v>#REF!</v>
      </c>
      <c r="BK9" s="520" t="e">
        <f>#REF!/BK3</f>
        <v>#REF!</v>
      </c>
      <c r="BL9" s="520" t="e">
        <f>#REF!/BL3</f>
        <v>#REF!</v>
      </c>
      <c r="BM9" s="520" t="e">
        <f>#REF!/BM3</f>
        <v>#REF!</v>
      </c>
      <c r="BN9" s="520" t="e">
        <f>#REF!/BN3</f>
        <v>#REF!</v>
      </c>
      <c r="BO9" s="520" t="e">
        <f>#REF!/BO3</f>
        <v>#REF!</v>
      </c>
      <c r="BQ9" s="522">
        <v>0.49164677804295942</v>
      </c>
      <c r="BR9" s="522">
        <v>0.49469214437367298</v>
      </c>
      <c r="BS9" s="522">
        <v>0.5053763440860215</v>
      </c>
      <c r="BT9" s="522">
        <v>0.49395161290322581</v>
      </c>
      <c r="BU9" s="522">
        <v>0.48739495798319332</v>
      </c>
      <c r="BV9" s="522">
        <v>0.50463821892393323</v>
      </c>
      <c r="BW9" s="522">
        <v>0.4972067039106145</v>
      </c>
      <c r="BX9" s="522">
        <v>0.49902912621359219</v>
      </c>
      <c r="BY9" s="522">
        <v>0.5131313131313131</v>
      </c>
      <c r="BZ9" s="522">
        <v>0.53030303030303028</v>
      </c>
      <c r="CA9" s="522">
        <v>0.54659498207885304</v>
      </c>
      <c r="CB9" s="522">
        <v>0.52422510464474525</v>
      </c>
      <c r="CC9" s="522">
        <v>0.53169413856485426</v>
      </c>
      <c r="CD9" s="522">
        <v>0.5341045393823064</v>
      </c>
      <c r="CE9" s="522">
        <v>0.5340721895151368</v>
      </c>
      <c r="CF9" s="522">
        <v>0.53167570451480317</v>
      </c>
      <c r="CG9" s="522">
        <v>0.53400952714035277</v>
      </c>
      <c r="CH9" s="522">
        <v>0.5383552165875547</v>
      </c>
      <c r="CI9" s="522">
        <v>0.53872768262828874</v>
      </c>
      <c r="CJ9" s="522">
        <v>0.53741362528986236</v>
      </c>
      <c r="CK9" s="522">
        <v>0.53880647882126786</v>
      </c>
      <c r="CL9" s="522">
        <v>0.54285599654503736</v>
      </c>
      <c r="CM9" s="522">
        <v>0.54355124575402769</v>
      </c>
      <c r="CN9" s="522">
        <v>0.54088253710133283</v>
      </c>
      <c r="CP9" s="524">
        <f t="shared" ref="CP9:DM9" si="2">E9-BQ9</f>
        <v>-0.36100049590258415</v>
      </c>
      <c r="CQ9" s="524">
        <f t="shared" si="2"/>
        <v>-0.35774123998090812</v>
      </c>
      <c r="CR9" s="524">
        <f t="shared" si="2"/>
        <v>-0.37175565443084907</v>
      </c>
      <c r="CS9" s="524">
        <f t="shared" si="2"/>
        <v>-0.35853494623655913</v>
      </c>
      <c r="CT9" s="524">
        <f t="shared" si="2"/>
        <v>-0.35201463697830848</v>
      </c>
      <c r="CU9" s="524">
        <f t="shared" si="2"/>
        <v>-0.35841973152897522</v>
      </c>
      <c r="CV9" s="524">
        <f t="shared" si="2"/>
        <v>-0.35970670391061449</v>
      </c>
      <c r="CW9" s="524">
        <f t="shared" si="2"/>
        <v>-0.36611298103211531</v>
      </c>
      <c r="CX9" s="524">
        <f t="shared" si="2"/>
        <v>-0.37043158861340675</v>
      </c>
      <c r="CY9" s="524">
        <f t="shared" si="2"/>
        <v>-0.40451545154515445</v>
      </c>
      <c r="CZ9" s="524">
        <f t="shared" si="2"/>
        <v>-0.41526338938955798</v>
      </c>
      <c r="DA9" s="524">
        <f t="shared" si="2"/>
        <v>-0.38299334604964264</v>
      </c>
      <c r="DB9" s="524">
        <f t="shared" si="2"/>
        <v>-0.38869413856485424</v>
      </c>
      <c r="DC9" s="524">
        <f t="shared" si="2"/>
        <v>-0.39110453938230638</v>
      </c>
      <c r="DD9" s="524" t="e">
        <f t="shared" si="2"/>
        <v>#DIV/0!</v>
      </c>
      <c r="DE9" s="524" t="e">
        <f t="shared" si="2"/>
        <v>#DIV/0!</v>
      </c>
      <c r="DF9" s="524" t="e">
        <f t="shared" si="2"/>
        <v>#DIV/0!</v>
      </c>
      <c r="DG9" s="524" t="e">
        <f t="shared" si="2"/>
        <v>#DIV/0!</v>
      </c>
      <c r="DH9" s="524" t="e">
        <f t="shared" si="2"/>
        <v>#DIV/0!</v>
      </c>
      <c r="DI9" s="524" t="e">
        <f t="shared" si="2"/>
        <v>#DIV/0!</v>
      </c>
      <c r="DJ9" s="524" t="e">
        <f t="shared" si="2"/>
        <v>#DIV/0!</v>
      </c>
      <c r="DK9" s="524" t="e">
        <f t="shared" si="2"/>
        <v>#DIV/0!</v>
      </c>
      <c r="DL9" s="524" t="e">
        <f t="shared" si="2"/>
        <v>#DIV/0!</v>
      </c>
      <c r="DM9" s="524" t="e">
        <f t="shared" si="2"/>
        <v>#DIV/0!</v>
      </c>
    </row>
    <row r="10" spans="1:117" x14ac:dyDescent="0.25">
      <c r="C10" s="509" t="s">
        <v>43</v>
      </c>
      <c r="D10" s="360"/>
      <c r="E10" s="360">
        <f>QTR!M41</f>
        <v>14.5</v>
      </c>
      <c r="F10" s="360">
        <f>QTR!N41</f>
        <v>16.2</v>
      </c>
      <c r="G10" s="360">
        <f>QTR!O41</f>
        <v>15.3</v>
      </c>
      <c r="H10" s="360">
        <f>QTR!P41</f>
        <v>17.3</v>
      </c>
      <c r="I10" s="360">
        <f>QTR!Q41</f>
        <v>27.9</v>
      </c>
      <c r="J10" s="360">
        <f>QTR!R41</f>
        <v>39.200000000000003</v>
      </c>
      <c r="K10" s="360">
        <f>QTR!S41</f>
        <v>37.799999999999997</v>
      </c>
      <c r="L10" s="360">
        <f>QTR!T41</f>
        <v>40.200000000000003</v>
      </c>
      <c r="M10" s="360">
        <f>QTR!U41</f>
        <v>38</v>
      </c>
      <c r="N10" s="360">
        <f>QTR!V41</f>
        <v>37.9</v>
      </c>
      <c r="O10" s="360">
        <f>QTR!W41</f>
        <v>38.200000000000003</v>
      </c>
      <c r="P10" s="360">
        <f>QTR!X41</f>
        <v>43.9</v>
      </c>
      <c r="Q10" s="360">
        <f>QTR!Y41</f>
        <v>44.278739999999999</v>
      </c>
      <c r="R10" s="360">
        <f>QTR!Z41</f>
        <v>49.695029999999981</v>
      </c>
      <c r="S10" s="360">
        <f>QTR!AA41</f>
        <v>0</v>
      </c>
      <c r="T10" s="360">
        <f>QTR!AB41</f>
        <v>0</v>
      </c>
      <c r="U10" s="360">
        <f>QTR!AC41</f>
        <v>0</v>
      </c>
      <c r="V10" s="360">
        <f>QTR!AD41</f>
        <v>0</v>
      </c>
      <c r="W10" s="360">
        <f>QTR!AE41</f>
        <v>0</v>
      </c>
      <c r="X10" s="360">
        <f>QTR!AF41</f>
        <v>0</v>
      </c>
      <c r="Y10" s="360">
        <f>QTR!AG41</f>
        <v>0</v>
      </c>
      <c r="Z10" s="360">
        <f>QTR!AH41</f>
        <v>0</v>
      </c>
      <c r="AA10" s="360">
        <f>QTR!AI41</f>
        <v>0</v>
      </c>
      <c r="AB10" s="360">
        <f>QTR!AJ41</f>
        <v>0</v>
      </c>
      <c r="AC10" s="360"/>
      <c r="AD10" s="361">
        <f>_xlfn.SINGLE(_xlfn.XLOOKUP(AD$2,$E$5:$AB$5,$E10:$AB10))</f>
        <v>40.200000000000003</v>
      </c>
      <c r="AE10" s="360">
        <v>43.9</v>
      </c>
      <c r="AF10" s="362">
        <f>AE10/AD10-1</f>
        <v>9.2039800995024734E-2</v>
      </c>
      <c r="AG10" s="361">
        <f t="shared" ref="AG10:AG11" si="3">_xlfn.XLOOKUP(AG$2,$E$5:$AB$5,$E10:$AB10)</f>
        <v>43.9</v>
      </c>
      <c r="AH10" s="362">
        <f>$AE10/AG10-1</f>
        <v>0</v>
      </c>
      <c r="AI10" s="516"/>
      <c r="AJ10" s="362"/>
      <c r="AK10" s="363"/>
      <c r="AL10" s="364"/>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69"/>
      <c r="DL10" s="369"/>
      <c r="DM10" s="369"/>
    </row>
    <row r="11" spans="1:117" x14ac:dyDescent="0.25">
      <c r="C11" s="510" t="s">
        <v>1296</v>
      </c>
      <c r="E11" s="517">
        <f t="shared" ref="E11:AB11" si="4">E10/E7</f>
        <v>0.10076441973592773</v>
      </c>
      <c r="F11" s="517">
        <f t="shared" si="4"/>
        <v>0.10465116279069767</v>
      </c>
      <c r="G11" s="517">
        <f t="shared" si="4"/>
        <v>0.10991379310344829</v>
      </c>
      <c r="H11" s="517">
        <f t="shared" si="4"/>
        <v>0.11263020833333334</v>
      </c>
      <c r="I11" s="517">
        <f t="shared" si="4"/>
        <v>9.7348220516399145E-2</v>
      </c>
      <c r="J11" s="517">
        <f t="shared" si="4"/>
        <v>0.10980392156862746</v>
      </c>
      <c r="K11" s="517">
        <f t="shared" si="4"/>
        <v>0.10053191489361701</v>
      </c>
      <c r="L11" s="517">
        <f t="shared" si="4"/>
        <v>0.10062578222778473</v>
      </c>
      <c r="M11" s="517">
        <f t="shared" si="4"/>
        <v>0.1046831955922865</v>
      </c>
      <c r="N11" s="517">
        <f t="shared" si="4"/>
        <v>8.5283528352835286E-2</v>
      </c>
      <c r="O11" s="517">
        <f t="shared" si="4"/>
        <v>9.9738903394255882E-2</v>
      </c>
      <c r="P11" s="517">
        <f t="shared" si="4"/>
        <v>0.10858273559238189</v>
      </c>
      <c r="Q11" s="517">
        <f t="shared" si="4"/>
        <v>0.10699999999999998</v>
      </c>
      <c r="R11" s="517">
        <f t="shared" si="4"/>
        <v>0.10499999999999997</v>
      </c>
      <c r="S11" s="517" t="e">
        <f t="shared" si="4"/>
        <v>#DIV/0!</v>
      </c>
      <c r="T11" s="517" t="e">
        <f t="shared" si="4"/>
        <v>#DIV/0!</v>
      </c>
      <c r="U11" s="517" t="e">
        <f t="shared" si="4"/>
        <v>#DIV/0!</v>
      </c>
      <c r="V11" s="517" t="e">
        <f t="shared" si="4"/>
        <v>#DIV/0!</v>
      </c>
      <c r="W11" s="517" t="e">
        <f t="shared" si="4"/>
        <v>#DIV/0!</v>
      </c>
      <c r="X11" s="517" t="e">
        <f t="shared" si="4"/>
        <v>#DIV/0!</v>
      </c>
      <c r="Y11" s="517" t="e">
        <f t="shared" si="4"/>
        <v>#DIV/0!</v>
      </c>
      <c r="Z11" s="517" t="e">
        <f t="shared" si="4"/>
        <v>#DIV/0!</v>
      </c>
      <c r="AA11" s="517" t="e">
        <f t="shared" si="4"/>
        <v>#DIV/0!</v>
      </c>
      <c r="AB11" s="517" t="e">
        <f t="shared" si="4"/>
        <v>#DIV/0!</v>
      </c>
      <c r="AD11" s="519">
        <f>_xlfn.XLOOKUP(AD$2,$E$5:$AB$5,$E11:$AB11)</f>
        <v>0.10062578222778473</v>
      </c>
      <c r="AE11" s="517">
        <f>AE10/AE7</f>
        <v>0.10858273559238189</v>
      </c>
      <c r="AF11" s="518">
        <f>(AE11-AD11)*100</f>
        <v>0.79569533645971613</v>
      </c>
      <c r="AG11" s="519">
        <f t="shared" si="3"/>
        <v>0.10858273559238189</v>
      </c>
      <c r="AH11" s="518">
        <f>($AE11-AG11)*100</f>
        <v>0</v>
      </c>
      <c r="AI11" s="519">
        <f>_xlfn.XLOOKUP(AI$2,$BQ$5:$CN$5,$BQ11:$CN11)</f>
        <v>0.48739495798319332</v>
      </c>
      <c r="AJ11" s="518">
        <f>($AE11-AI11)*100</f>
        <v>-37.88122223908114</v>
      </c>
      <c r="AR11" s="520" t="e">
        <f>#REF!/AR5</f>
        <v>#REF!</v>
      </c>
      <c r="AS11" s="520" t="e">
        <f>#REF!/AS5</f>
        <v>#REF!</v>
      </c>
      <c r="AT11" s="520" t="e">
        <f>#REF!/AT5</f>
        <v>#REF!</v>
      </c>
      <c r="AU11" s="520" t="e">
        <f>#REF!/AU5</f>
        <v>#REF!</v>
      </c>
      <c r="AV11" s="520" t="e">
        <f>#REF!/AV5</f>
        <v>#REF!</v>
      </c>
      <c r="AW11" s="520" t="e">
        <f>#REF!/AW5</f>
        <v>#REF!</v>
      </c>
      <c r="AX11" s="520" t="e">
        <f>#REF!/AX5</f>
        <v>#REF!</v>
      </c>
      <c r="AY11" s="520" t="e">
        <f>#REF!/AY5</f>
        <v>#REF!</v>
      </c>
      <c r="AZ11" s="520" t="e">
        <f>#REF!/AZ5</f>
        <v>#REF!</v>
      </c>
      <c r="BA11" s="520" t="e">
        <f>#REF!/BA5</f>
        <v>#REF!</v>
      </c>
      <c r="BB11" s="520" t="e">
        <f>#REF!/BB5</f>
        <v>#REF!</v>
      </c>
      <c r="BC11" s="520" t="e">
        <f>#REF!/BC5</f>
        <v>#REF!</v>
      </c>
      <c r="BD11" s="520" t="e">
        <f>#REF!/BD5</f>
        <v>#REF!</v>
      </c>
      <c r="BE11" s="520" t="e">
        <f>#REF!/BE5</f>
        <v>#REF!</v>
      </c>
      <c r="BF11" s="520" t="e">
        <f>#REF!/BF5</f>
        <v>#REF!</v>
      </c>
      <c r="BG11" s="520" t="e">
        <f>#REF!/BG5</f>
        <v>#REF!</v>
      </c>
      <c r="BH11" s="520" t="e">
        <f>#REF!/BH5</f>
        <v>#REF!</v>
      </c>
      <c r="BI11" s="520" t="e">
        <f>#REF!/BI5</f>
        <v>#REF!</v>
      </c>
      <c r="BJ11" s="520" t="e">
        <f>#REF!/BJ5</f>
        <v>#REF!</v>
      </c>
      <c r="BK11" s="520" t="e">
        <f>#REF!/BK5</f>
        <v>#REF!</v>
      </c>
      <c r="BL11" s="520" t="e">
        <f>#REF!/BL5</f>
        <v>#REF!</v>
      </c>
      <c r="BM11" s="520" t="e">
        <f>#REF!/BM5</f>
        <v>#REF!</v>
      </c>
      <c r="BN11" s="520" t="e">
        <f>#REF!/BN5</f>
        <v>#REF!</v>
      </c>
      <c r="BO11" s="520" t="e">
        <f>#REF!/BO5</f>
        <v>#REF!</v>
      </c>
      <c r="BQ11" s="522">
        <v>0.49164677804295942</v>
      </c>
      <c r="BR11" s="522">
        <v>0.49469214437367298</v>
      </c>
      <c r="BS11" s="522">
        <v>0.5053763440860215</v>
      </c>
      <c r="BT11" s="522">
        <v>0.49395161290322581</v>
      </c>
      <c r="BU11" s="522">
        <v>0.48739495798319332</v>
      </c>
      <c r="BV11" s="522">
        <v>0.50463821892393323</v>
      </c>
      <c r="BW11" s="522">
        <v>0.4972067039106145</v>
      </c>
      <c r="BX11" s="522">
        <v>0.49902912621359219</v>
      </c>
      <c r="BY11" s="522">
        <v>0.5131313131313131</v>
      </c>
      <c r="BZ11" s="522">
        <v>0.53030303030303028</v>
      </c>
      <c r="CA11" s="522">
        <v>0.54659498207885304</v>
      </c>
      <c r="CB11" s="522">
        <v>0.52422510464474525</v>
      </c>
      <c r="CC11" s="522">
        <v>0.53169413856485426</v>
      </c>
      <c r="CD11" s="522">
        <v>0.5341045393823064</v>
      </c>
      <c r="CE11" s="522">
        <v>0.5340721895151368</v>
      </c>
      <c r="CF11" s="522">
        <v>0.53167570451480317</v>
      </c>
      <c r="CG11" s="522">
        <v>0.53400952714035277</v>
      </c>
      <c r="CH11" s="522">
        <v>0.5383552165875547</v>
      </c>
      <c r="CI11" s="522">
        <v>0.53872768262828874</v>
      </c>
      <c r="CJ11" s="522">
        <v>0.53741362528986236</v>
      </c>
      <c r="CK11" s="522">
        <v>0.53880647882126786</v>
      </c>
      <c r="CL11" s="522">
        <v>0.54285599654503736</v>
      </c>
      <c r="CM11" s="522">
        <v>0.54355124575402769</v>
      </c>
      <c r="CN11" s="522">
        <v>0.54088253710133283</v>
      </c>
      <c r="CP11" s="524">
        <f t="shared" ref="CP11:DM11" si="5">E11-BQ11</f>
        <v>-0.39088235830703166</v>
      </c>
      <c r="CQ11" s="524">
        <f t="shared" si="5"/>
        <v>-0.39004098158297529</v>
      </c>
      <c r="CR11" s="524">
        <f t="shared" si="5"/>
        <v>-0.39546255098257321</v>
      </c>
      <c r="CS11" s="524">
        <f t="shared" si="5"/>
        <v>-0.3813214045698925</v>
      </c>
      <c r="CT11" s="524">
        <f t="shared" si="5"/>
        <v>-0.39004673746679419</v>
      </c>
      <c r="CU11" s="524">
        <f t="shared" si="5"/>
        <v>-0.39483429735530579</v>
      </c>
      <c r="CV11" s="524">
        <f t="shared" si="5"/>
        <v>-0.39667478901699749</v>
      </c>
      <c r="CW11" s="524">
        <f t="shared" si="5"/>
        <v>-0.39840334398580746</v>
      </c>
      <c r="CX11" s="524">
        <f t="shared" si="5"/>
        <v>-0.4084481175390266</v>
      </c>
      <c r="CY11" s="524">
        <f t="shared" si="5"/>
        <v>-0.44501950195019502</v>
      </c>
      <c r="CZ11" s="524">
        <f t="shared" si="5"/>
        <v>-0.44685607868459715</v>
      </c>
      <c r="DA11" s="524">
        <f t="shared" si="5"/>
        <v>-0.41564236905236335</v>
      </c>
      <c r="DB11" s="524">
        <f t="shared" si="5"/>
        <v>-0.42469413856485427</v>
      </c>
      <c r="DC11" s="524">
        <f t="shared" si="5"/>
        <v>-0.42910453938230642</v>
      </c>
      <c r="DD11" s="524" t="e">
        <f t="shared" si="5"/>
        <v>#DIV/0!</v>
      </c>
      <c r="DE11" s="524" t="e">
        <f t="shared" si="5"/>
        <v>#DIV/0!</v>
      </c>
      <c r="DF11" s="524" t="e">
        <f t="shared" si="5"/>
        <v>#DIV/0!</v>
      </c>
      <c r="DG11" s="524" t="e">
        <f t="shared" si="5"/>
        <v>#DIV/0!</v>
      </c>
      <c r="DH11" s="524" t="e">
        <f t="shared" si="5"/>
        <v>#DIV/0!</v>
      </c>
      <c r="DI11" s="524" t="e">
        <f t="shared" si="5"/>
        <v>#DIV/0!</v>
      </c>
      <c r="DJ11" s="524" t="e">
        <f t="shared" si="5"/>
        <v>#DIV/0!</v>
      </c>
      <c r="DK11" s="524" t="e">
        <f t="shared" si="5"/>
        <v>#DIV/0!</v>
      </c>
      <c r="DL11" s="524" t="e">
        <f t="shared" si="5"/>
        <v>#DIV/0!</v>
      </c>
      <c r="DM11" s="524" t="e">
        <f t="shared" si="5"/>
        <v>#DIV/0!</v>
      </c>
    </row>
    <row r="12" spans="1:117" x14ac:dyDescent="0.25">
      <c r="C12" s="512"/>
      <c r="D12" s="360"/>
      <c r="E12" s="360"/>
      <c r="F12" s="360"/>
      <c r="G12" s="360"/>
      <c r="H12" s="360"/>
      <c r="I12" s="360"/>
      <c r="J12" s="360"/>
      <c r="K12" s="360"/>
      <c r="L12" s="360"/>
      <c r="M12" s="360"/>
      <c r="N12" s="360"/>
      <c r="O12" s="360"/>
      <c r="P12" s="360"/>
      <c r="Q12" s="360"/>
      <c r="R12" s="360"/>
      <c r="S12" s="360"/>
      <c r="T12" s="360"/>
      <c r="U12" s="360"/>
      <c r="V12" s="360"/>
      <c r="W12" s="360"/>
      <c r="X12" s="360"/>
      <c r="Y12" s="360"/>
      <c r="Z12" s="360"/>
      <c r="AA12" s="360"/>
      <c r="AB12" s="360"/>
      <c r="AC12" s="360"/>
      <c r="AD12" s="514"/>
      <c r="AE12" s="513"/>
      <c r="AF12" s="362"/>
      <c r="AG12" s="514"/>
      <c r="AH12" s="362"/>
      <c r="AI12" s="361"/>
      <c r="AJ12" s="362"/>
      <c r="AK12" s="363"/>
      <c r="AL12" s="364"/>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69"/>
      <c r="DL12" s="369"/>
      <c r="DM12" s="369"/>
    </row>
    <row r="13" spans="1:117" ht="30" customHeight="1" x14ac:dyDescent="0.25">
      <c r="A13" s="345"/>
      <c r="C13" s="348"/>
      <c r="D13" s="349"/>
      <c r="E13" s="349" t="str">
        <f t="shared" ref="E13:AB13" si="6">E$5</f>
        <v>1Q24A</v>
      </c>
      <c r="F13" s="349" t="str">
        <f t="shared" si="6"/>
        <v>2Q24A</v>
      </c>
      <c r="G13" s="349" t="str">
        <f t="shared" si="6"/>
        <v>3Q24A</v>
      </c>
      <c r="H13" s="349" t="str">
        <f t="shared" si="6"/>
        <v>4Q24A</v>
      </c>
      <c r="I13" s="349" t="str">
        <f t="shared" si="6"/>
        <v>1Q25A</v>
      </c>
      <c r="J13" s="349" t="str">
        <f t="shared" si="6"/>
        <v>2Q25A</v>
      </c>
      <c r="K13" s="349" t="str">
        <f t="shared" si="6"/>
        <v>3Q25A</v>
      </c>
      <c r="L13" s="349" t="str">
        <f t="shared" si="6"/>
        <v>4Q25A</v>
      </c>
      <c r="M13" s="349" t="str">
        <f t="shared" si="6"/>
        <v>1Q26A</v>
      </c>
      <c r="N13" s="349" t="str">
        <f t="shared" si="6"/>
        <v>2Q26A</v>
      </c>
      <c r="O13" s="349" t="str">
        <f t="shared" si="6"/>
        <v>3Q26E</v>
      </c>
      <c r="P13" s="349" t="str">
        <f t="shared" si="6"/>
        <v>4Q26E</v>
      </c>
      <c r="Q13" s="349" t="str">
        <f t="shared" si="6"/>
        <v>1Q27E</v>
      </c>
      <c r="R13" s="349" t="str">
        <f t="shared" si="6"/>
        <v>2Q27E</v>
      </c>
      <c r="S13" s="349" t="str">
        <f t="shared" si="6"/>
        <v>3Q27E</v>
      </c>
      <c r="T13" s="349" t="str">
        <f t="shared" si="6"/>
        <v>4Q27E</v>
      </c>
      <c r="U13" s="349" t="str">
        <f t="shared" si="6"/>
        <v>1Q28E</v>
      </c>
      <c r="V13" s="349" t="str">
        <f t="shared" si="6"/>
        <v>2Q28E</v>
      </c>
      <c r="W13" s="349" t="str">
        <f t="shared" si="6"/>
        <v>3Q28E</v>
      </c>
      <c r="X13" s="349" t="str">
        <f t="shared" si="6"/>
        <v>4Q28E</v>
      </c>
      <c r="Y13" s="349" t="str">
        <f t="shared" si="6"/>
        <v>1Q29E</v>
      </c>
      <c r="Z13" s="349" t="str">
        <f t="shared" si="6"/>
        <v>2Q29E</v>
      </c>
      <c r="AA13" s="349" t="str">
        <f t="shared" si="6"/>
        <v>3Q29E</v>
      </c>
      <c r="AB13" s="349" t="str">
        <f t="shared" si="6"/>
        <v>4Q29E</v>
      </c>
      <c r="AC13" s="349"/>
      <c r="AD13" s="350" t="str">
        <f>AD$2</f>
        <v>4Q25A</v>
      </c>
      <c r="AE13" s="348" t="str">
        <f>AE$2</f>
        <v>4Q26A</v>
      </c>
      <c r="AF13" s="351" t="s">
        <v>1265</v>
      </c>
      <c r="AG13" s="352" t="str">
        <f>"E&amp;Pe "&amp;AG$2</f>
        <v>E&amp;Pe 4Q26E</v>
      </c>
      <c r="AH13" s="351" t="s">
        <v>1266</v>
      </c>
      <c r="AI13" s="352" t="str">
        <f>"VA Cons.  "&amp;AG$2</f>
        <v>VA Cons.  4Q26E</v>
      </c>
      <c r="AJ13" s="353" t="s">
        <v>1266</v>
      </c>
      <c r="AK13" s="354"/>
      <c r="AN13" s="356"/>
      <c r="AO13" s="356"/>
      <c r="AP13" s="356"/>
      <c r="AQ13" s="356"/>
      <c r="AR13" s="355" t="s">
        <v>1267</v>
      </c>
      <c r="AS13" s="355" t="s">
        <v>1268</v>
      </c>
      <c r="AT13" s="355" t="s">
        <v>1269</v>
      </c>
      <c r="AU13" s="355" t="s">
        <v>1270</v>
      </c>
      <c r="AV13" s="355" t="s">
        <v>1262</v>
      </c>
      <c r="AW13" s="355" t="s">
        <v>1</v>
      </c>
      <c r="AX13" s="355" t="s">
        <v>1271</v>
      </c>
      <c r="AY13" s="355" t="s">
        <v>1272</v>
      </c>
      <c r="AZ13" s="355" t="s">
        <v>1273</v>
      </c>
      <c r="BA13" s="355" t="s">
        <v>1274</v>
      </c>
      <c r="BB13" s="355" t="s">
        <v>1275</v>
      </c>
      <c r="BC13" s="355" t="s">
        <v>1276</v>
      </c>
      <c r="BD13" s="355" t="s">
        <v>1277</v>
      </c>
      <c r="BE13" s="355" t="s">
        <v>1278</v>
      </c>
      <c r="BF13" s="355" t="s">
        <v>1279</v>
      </c>
      <c r="BG13" s="355" t="s">
        <v>1280</v>
      </c>
      <c r="BH13" s="355" t="s">
        <v>1281</v>
      </c>
      <c r="BI13" s="355" t="s">
        <v>1282</v>
      </c>
      <c r="BJ13" s="355" t="s">
        <v>1283</v>
      </c>
      <c r="BK13" s="355" t="s">
        <v>1284</v>
      </c>
      <c r="BL13" s="355" t="s">
        <v>1285</v>
      </c>
      <c r="BM13" s="355" t="s">
        <v>1286</v>
      </c>
      <c r="BN13" s="355" t="s">
        <v>1287</v>
      </c>
      <c r="BO13" s="355" t="s">
        <v>1288</v>
      </c>
      <c r="BQ13" s="355" t="s">
        <v>1267</v>
      </c>
      <c r="BR13" s="355" t="s">
        <v>1268</v>
      </c>
      <c r="BS13" s="355" t="s">
        <v>1269</v>
      </c>
      <c r="BT13" s="355" t="s">
        <v>1270</v>
      </c>
      <c r="BU13" s="355" t="s">
        <v>1262</v>
      </c>
      <c r="BV13" s="355" t="s">
        <v>1</v>
      </c>
      <c r="BW13" s="355" t="s">
        <v>1271</v>
      </c>
      <c r="BX13" s="355" t="s">
        <v>1272</v>
      </c>
      <c r="BY13" s="355" t="s">
        <v>1273</v>
      </c>
      <c r="BZ13" s="355" t="s">
        <v>1274</v>
      </c>
      <c r="CA13" s="355" t="s">
        <v>1275</v>
      </c>
      <c r="CB13" s="355" t="s">
        <v>1276</v>
      </c>
      <c r="CC13" s="355" t="s">
        <v>1277</v>
      </c>
      <c r="CD13" s="355" t="s">
        <v>1278</v>
      </c>
      <c r="CE13" s="355" t="s">
        <v>1279</v>
      </c>
      <c r="CF13" s="355" t="s">
        <v>1280</v>
      </c>
      <c r="CG13" s="355" t="s">
        <v>1281</v>
      </c>
      <c r="CH13" s="355" t="s">
        <v>1282</v>
      </c>
      <c r="CI13" s="355" t="s">
        <v>1283</v>
      </c>
      <c r="CJ13" s="355" t="s">
        <v>1284</v>
      </c>
      <c r="CK13" s="355" t="s">
        <v>1285</v>
      </c>
      <c r="CL13" s="355" t="s">
        <v>1286</v>
      </c>
      <c r="CM13" s="355" t="s">
        <v>1287</v>
      </c>
      <c r="CN13" s="355" t="s">
        <v>1288</v>
      </c>
      <c r="CP13" s="355" t="s">
        <v>1267</v>
      </c>
      <c r="CQ13" s="355" t="s">
        <v>1268</v>
      </c>
      <c r="CR13" s="355" t="s">
        <v>1269</v>
      </c>
      <c r="CS13" s="355" t="s">
        <v>1270</v>
      </c>
      <c r="CT13" s="355" t="s">
        <v>1262</v>
      </c>
      <c r="CU13" s="355" t="s">
        <v>1</v>
      </c>
      <c r="CV13" s="355" t="s">
        <v>1271</v>
      </c>
      <c r="CW13" s="355" t="s">
        <v>1272</v>
      </c>
      <c r="CX13" s="355" t="s">
        <v>1273</v>
      </c>
      <c r="CY13" s="355" t="s">
        <v>1274</v>
      </c>
      <c r="CZ13" s="355" t="s">
        <v>1275</v>
      </c>
      <c r="DA13" s="355" t="s">
        <v>1276</v>
      </c>
      <c r="DB13" s="355" t="s">
        <v>1277</v>
      </c>
      <c r="DC13" s="355" t="s">
        <v>1278</v>
      </c>
      <c r="DD13" s="355" t="s">
        <v>1279</v>
      </c>
      <c r="DE13" s="355" t="s">
        <v>1280</v>
      </c>
      <c r="DF13" s="355" t="s">
        <v>1281</v>
      </c>
      <c r="DG13" s="355" t="s">
        <v>1282</v>
      </c>
      <c r="DH13" s="355" t="s">
        <v>1283</v>
      </c>
      <c r="DI13" s="355" t="s">
        <v>1284</v>
      </c>
      <c r="DJ13" s="355" t="s">
        <v>1285</v>
      </c>
      <c r="DK13" s="355" t="s">
        <v>1286</v>
      </c>
      <c r="DL13" s="355" t="s">
        <v>1287</v>
      </c>
      <c r="DM13" s="355" t="s">
        <v>1288</v>
      </c>
    </row>
    <row r="14" spans="1:117" x14ac:dyDescent="0.25">
      <c r="C14" s="508" t="s">
        <v>1297</v>
      </c>
      <c r="D14" s="360"/>
      <c r="E14" s="360"/>
      <c r="F14" s="360"/>
      <c r="G14" s="360"/>
      <c r="H14" s="360"/>
      <c r="I14" s="360"/>
      <c r="J14" s="360"/>
      <c r="K14" s="360"/>
      <c r="L14" s="360"/>
      <c r="M14" s="360"/>
      <c r="N14" s="360"/>
      <c r="O14" s="360"/>
      <c r="P14" s="360"/>
      <c r="Q14" s="360"/>
      <c r="R14" s="360"/>
      <c r="S14" s="360"/>
      <c r="T14" s="360"/>
      <c r="U14" s="360"/>
      <c r="V14" s="360"/>
      <c r="W14" s="360"/>
      <c r="X14" s="360"/>
      <c r="Y14" s="360"/>
      <c r="Z14" s="360"/>
      <c r="AA14" s="360"/>
      <c r="AB14" s="360"/>
      <c r="AC14" s="360"/>
      <c r="AD14" s="514"/>
      <c r="AE14" s="513"/>
      <c r="AF14" s="362"/>
      <c r="AG14" s="514"/>
      <c r="AH14" s="362"/>
      <c r="AI14" s="361"/>
      <c r="AJ14" s="362"/>
      <c r="AK14" s="363"/>
      <c r="AL14" s="364"/>
      <c r="BQ14" s="369"/>
      <c r="BR14" s="369"/>
      <c r="BS14" s="369"/>
      <c r="BT14" s="369"/>
      <c r="BU14" s="369"/>
      <c r="BV14" s="369"/>
      <c r="BW14" s="369"/>
      <c r="BX14" s="369"/>
      <c r="BY14" s="369"/>
      <c r="BZ14" s="369"/>
      <c r="CA14" s="369"/>
      <c r="CB14" s="369"/>
      <c r="CC14" s="369"/>
      <c r="CD14" s="369"/>
      <c r="CE14" s="369"/>
      <c r="CF14" s="369"/>
      <c r="CG14" s="369"/>
      <c r="CH14" s="369"/>
      <c r="CI14" s="369"/>
      <c r="CJ14" s="369"/>
      <c r="CK14" s="369"/>
      <c r="CL14" s="369"/>
      <c r="CM14" s="369"/>
      <c r="CN14" s="369"/>
      <c r="CP14" s="369"/>
      <c r="CQ14" s="369"/>
      <c r="CR14" s="369"/>
      <c r="CS14" s="369"/>
      <c r="CT14" s="369"/>
      <c r="CU14" s="369"/>
      <c r="CV14" s="369"/>
      <c r="CW14" s="369"/>
      <c r="CX14" s="369"/>
      <c r="CY14" s="369"/>
      <c r="CZ14" s="369"/>
      <c r="DA14" s="369"/>
      <c r="DB14" s="369"/>
      <c r="DC14" s="369"/>
      <c r="DD14" s="369"/>
      <c r="DE14" s="369"/>
      <c r="DF14" s="369"/>
      <c r="DG14" s="369"/>
      <c r="DH14" s="369"/>
      <c r="DI14" s="369"/>
      <c r="DJ14" s="369"/>
      <c r="DK14" s="369"/>
      <c r="DL14" s="369"/>
      <c r="DM14" s="369"/>
    </row>
    <row r="15" spans="1:117" x14ac:dyDescent="0.25">
      <c r="C15" s="509" t="s">
        <v>71</v>
      </c>
      <c r="D15" s="360"/>
      <c r="E15" s="360">
        <f>QTR!M55</f>
        <v>0</v>
      </c>
      <c r="F15" s="360">
        <f>QTR!N55</f>
        <v>0</v>
      </c>
      <c r="G15" s="360">
        <f>QTR!O55</f>
        <v>0</v>
      </c>
      <c r="H15" s="360">
        <f>QTR!P55</f>
        <v>0</v>
      </c>
      <c r="I15" s="360">
        <f>QTR!Q55</f>
        <v>-10.6027</v>
      </c>
      <c r="J15" s="360">
        <f>QTR!R55</f>
        <v>-19.753599999999999</v>
      </c>
      <c r="K15" s="360">
        <f>QTR!S55</f>
        <v>-17.3842</v>
      </c>
      <c r="L15" s="360">
        <f>QTR!T55</f>
        <v>-22.224399999999999</v>
      </c>
      <c r="M15" s="360">
        <f>QTR!U55</f>
        <v>-18.450600000000001</v>
      </c>
      <c r="N15" s="360">
        <f>QTR!V55</f>
        <v>-19.976099999999999</v>
      </c>
      <c r="O15" s="360">
        <f>QTR!W55</f>
        <v>-21.205100000000002</v>
      </c>
      <c r="P15" s="360">
        <f>QTR!X55</f>
        <v>-23.323599999999999</v>
      </c>
      <c r="Q15" s="360">
        <f>QTR!Y55</f>
        <v>0</v>
      </c>
      <c r="R15" s="360">
        <f>QTR!Z55</f>
        <v>0</v>
      </c>
      <c r="S15" s="360">
        <f>QTR!AA55</f>
        <v>0</v>
      </c>
      <c r="T15" s="360">
        <f>QTR!AB55</f>
        <v>0</v>
      </c>
      <c r="U15" s="360">
        <f>QTR!AC55</f>
        <v>0</v>
      </c>
      <c r="V15" s="360">
        <f>QTR!AD55</f>
        <v>0</v>
      </c>
      <c r="W15" s="360">
        <f>QTR!AE55</f>
        <v>0</v>
      </c>
      <c r="X15" s="360">
        <f>QTR!AF55</f>
        <v>0</v>
      </c>
      <c r="Y15" s="360">
        <f>QTR!AG55</f>
        <v>0</v>
      </c>
      <c r="Z15" s="360">
        <f>QTR!AH55</f>
        <v>0</v>
      </c>
      <c r="AA15" s="360">
        <f>QTR!AI55</f>
        <v>0</v>
      </c>
      <c r="AB15" s="360">
        <f>QTR!AJ55</f>
        <v>0</v>
      </c>
      <c r="AC15" s="360"/>
      <c r="AD15" s="361">
        <f>_xlfn.XLOOKUP(AD$2,$E$5:$AB$5,$E15:$AB15)</f>
        <v>-22.224399999999999</v>
      </c>
      <c r="AE15" s="360"/>
      <c r="AF15" s="362">
        <f>AE15/AD15-1</f>
        <v>-1</v>
      </c>
      <c r="AG15" s="361">
        <f>_xlfn.XLOOKUP(AG$2,$E$5:$AB$5,$E15:$AB15)</f>
        <v>-23.323599999999999</v>
      </c>
      <c r="AH15" s="362">
        <f>$AE15/AG15-1</f>
        <v>-1</v>
      </c>
      <c r="AI15" s="516">
        <f>_xlfn.XLOOKUP(AI$2,$BQ$5:$CN$5,$BQ15:$CN15)</f>
        <v>0</v>
      </c>
      <c r="AJ15" s="362" t="e">
        <f>$AE15/AI15-1</f>
        <v>#DIV/0!</v>
      </c>
      <c r="AK15" s="363"/>
      <c r="AL15" s="364"/>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P15" s="369"/>
      <c r="CQ15" s="369"/>
      <c r="CR15" s="369"/>
      <c r="CS15" s="369"/>
      <c r="CT15" s="369"/>
      <c r="CU15" s="369"/>
      <c r="CV15" s="369"/>
      <c r="CW15" s="369"/>
      <c r="CX15" s="369"/>
      <c r="CY15" s="369"/>
      <c r="CZ15" s="369"/>
      <c r="DA15" s="369"/>
      <c r="DB15" s="369"/>
      <c r="DC15" s="369"/>
      <c r="DD15" s="369"/>
      <c r="DE15" s="369"/>
      <c r="DF15" s="369"/>
      <c r="DG15" s="369"/>
      <c r="DH15" s="369"/>
      <c r="DI15" s="369"/>
      <c r="DJ15" s="369"/>
      <c r="DK15" s="369"/>
      <c r="DL15" s="369"/>
      <c r="DM15" s="369"/>
    </row>
    <row r="16" spans="1:117" x14ac:dyDescent="0.25">
      <c r="C16" s="509" t="s">
        <v>121</v>
      </c>
      <c r="D16" s="360"/>
      <c r="E16" s="360">
        <f>QTR!M48</f>
        <v>0</v>
      </c>
      <c r="F16" s="360">
        <f>QTR!N48</f>
        <v>0</v>
      </c>
      <c r="G16" s="360">
        <f>QTR!O48</f>
        <v>0</v>
      </c>
      <c r="H16" s="360">
        <f>QTR!P48</f>
        <v>0</v>
      </c>
      <c r="I16" s="360">
        <f>QTR!Q48</f>
        <v>-2.9</v>
      </c>
      <c r="J16" s="360">
        <f>QTR!R48</f>
        <v>-7</v>
      </c>
      <c r="K16" s="360">
        <f>QTR!S48</f>
        <v>-3.6</v>
      </c>
      <c r="L16" s="360">
        <f>QTR!T48</f>
        <v>-5.5</v>
      </c>
      <c r="M16" s="360">
        <f>QTR!U48</f>
        <v>-11.5</v>
      </c>
      <c r="N16" s="360">
        <f>QTR!V48</f>
        <v>-10.3</v>
      </c>
      <c r="O16" s="360">
        <f>QTR!W48</f>
        <v>-7.7023000000000001</v>
      </c>
      <c r="P16" s="360">
        <f>QTR!X48</f>
        <v>-4.0541999999999998</v>
      </c>
      <c r="Q16" s="360">
        <f>QTR!Y48</f>
        <v>0</v>
      </c>
      <c r="R16" s="360">
        <f>QTR!Z48</f>
        <v>0</v>
      </c>
      <c r="S16" s="360">
        <f>QTR!AA48</f>
        <v>0</v>
      </c>
      <c r="T16" s="360">
        <f>QTR!AB48</f>
        <v>0</v>
      </c>
      <c r="U16" s="360">
        <f>QTR!AC48</f>
        <v>0</v>
      </c>
      <c r="V16" s="360">
        <f>QTR!AD48</f>
        <v>0</v>
      </c>
      <c r="W16" s="360">
        <f>QTR!AE48</f>
        <v>0</v>
      </c>
      <c r="X16" s="360">
        <f>QTR!AF48</f>
        <v>0</v>
      </c>
      <c r="Y16" s="360">
        <f>QTR!AG48</f>
        <v>0</v>
      </c>
      <c r="Z16" s="360">
        <f>QTR!AH48</f>
        <v>0</v>
      </c>
      <c r="AA16" s="360">
        <f>QTR!AI48</f>
        <v>0</v>
      </c>
      <c r="AB16" s="360">
        <f>QTR!AJ48</f>
        <v>0</v>
      </c>
      <c r="AC16" s="360"/>
      <c r="AD16" s="361">
        <f>_xlfn.XLOOKUP(AD$2,$E$5:$AB$5,$E16:$AB16)</f>
        <v>-5.5</v>
      </c>
      <c r="AE16" s="360"/>
      <c r="AF16" s="362">
        <f>AE16/AD16-1</f>
        <v>-1</v>
      </c>
      <c r="AG16" s="361">
        <f>_xlfn.XLOOKUP(AG$2,$E$5:$AB$5,$E16:$AB16)</f>
        <v>-4.0541999999999998</v>
      </c>
      <c r="AH16" s="362">
        <f>$AE16/AG16-1</f>
        <v>-1</v>
      </c>
      <c r="AI16" s="516">
        <f>_xlfn.XLOOKUP(AI$2,$BQ$5:$CN$5,$BQ16:$CN16)</f>
        <v>0</v>
      </c>
      <c r="AJ16" s="362" t="e">
        <f>$AE16/AI16-1</f>
        <v>#DIV/0!</v>
      </c>
      <c r="AK16" s="363"/>
      <c r="AL16" s="364"/>
      <c r="BQ16" s="369"/>
      <c r="BR16" s="369"/>
      <c r="BS16" s="369"/>
      <c r="BT16" s="369"/>
      <c r="BU16" s="369"/>
      <c r="BV16" s="369"/>
      <c r="BW16" s="369"/>
      <c r="BX16" s="369"/>
      <c r="BY16" s="369"/>
      <c r="BZ16" s="369"/>
      <c r="CA16" s="369"/>
      <c r="CB16" s="369"/>
      <c r="CC16" s="369"/>
      <c r="CD16" s="369"/>
      <c r="CE16" s="369"/>
      <c r="CF16" s="369"/>
      <c r="CG16" s="369"/>
      <c r="CH16" s="369"/>
      <c r="CI16" s="369"/>
      <c r="CJ16" s="369"/>
      <c r="CK16" s="369"/>
      <c r="CL16" s="369"/>
      <c r="CM16" s="369"/>
      <c r="CN16" s="369"/>
      <c r="CP16" s="369"/>
      <c r="CQ16" s="369"/>
      <c r="CR16" s="369"/>
      <c r="CS16" s="369"/>
      <c r="CT16" s="369"/>
      <c r="CU16" s="369"/>
      <c r="CV16" s="369"/>
      <c r="CW16" s="369"/>
      <c r="CX16" s="369"/>
      <c r="CY16" s="369"/>
      <c r="CZ16" s="369"/>
      <c r="DA16" s="369"/>
      <c r="DB16" s="369"/>
      <c r="DC16" s="369"/>
      <c r="DD16" s="369"/>
      <c r="DE16" s="369"/>
      <c r="DF16" s="369"/>
      <c r="DG16" s="369"/>
      <c r="DH16" s="369"/>
      <c r="DI16" s="369"/>
      <c r="DJ16" s="369"/>
      <c r="DK16" s="369"/>
      <c r="DL16" s="369"/>
      <c r="DM16" s="369"/>
    </row>
    <row r="17" spans="3:117" x14ac:dyDescent="0.25">
      <c r="C17" s="512"/>
      <c r="D17" s="360"/>
      <c r="E17" s="360"/>
      <c r="F17" s="360"/>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514"/>
      <c r="AE17" s="513"/>
      <c r="AF17" s="362"/>
      <c r="AG17" s="514"/>
      <c r="AH17" s="362"/>
      <c r="AI17" s="361"/>
      <c r="AJ17" s="362"/>
      <c r="AK17" s="363"/>
      <c r="AL17" s="364"/>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P17" s="369"/>
      <c r="CQ17" s="369"/>
      <c r="CR17" s="369"/>
      <c r="CS17" s="369"/>
      <c r="CT17" s="369"/>
      <c r="CU17" s="369"/>
      <c r="CV17" s="369"/>
      <c r="CW17" s="369"/>
      <c r="CX17" s="369"/>
      <c r="CY17" s="369"/>
      <c r="CZ17" s="369"/>
      <c r="DA17" s="369"/>
      <c r="DB17" s="369"/>
      <c r="DC17" s="369"/>
      <c r="DD17" s="369"/>
      <c r="DE17" s="369"/>
      <c r="DF17" s="369"/>
      <c r="DG17" s="369"/>
      <c r="DH17" s="369"/>
      <c r="DI17" s="369"/>
      <c r="DJ17" s="369"/>
      <c r="DK17" s="369"/>
      <c r="DL17" s="369"/>
      <c r="DM17" s="369"/>
    </row>
    <row r="18" spans="3:117" x14ac:dyDescent="0.25">
      <c r="C18" s="508" t="s">
        <v>122</v>
      </c>
      <c r="D18" s="360"/>
      <c r="E18" s="360"/>
      <c r="F18" s="360"/>
      <c r="G18" s="360"/>
      <c r="H18" s="360"/>
      <c r="I18" s="360"/>
      <c r="J18" s="360"/>
      <c r="K18" s="360"/>
      <c r="L18" s="360"/>
      <c r="M18" s="360"/>
      <c r="N18" s="360"/>
      <c r="O18" s="360"/>
      <c r="P18" s="360"/>
      <c r="Q18" s="360"/>
      <c r="R18" s="360"/>
      <c r="S18" s="360"/>
      <c r="T18" s="360"/>
      <c r="U18" s="360"/>
      <c r="V18" s="360"/>
      <c r="W18" s="360"/>
      <c r="X18" s="360"/>
      <c r="Y18" s="360"/>
      <c r="Z18" s="360"/>
      <c r="AA18" s="360"/>
      <c r="AB18" s="360"/>
      <c r="AC18" s="360"/>
      <c r="AD18" s="514"/>
      <c r="AE18" s="513"/>
      <c r="AF18" s="362"/>
      <c r="AG18" s="514"/>
      <c r="AH18" s="362"/>
      <c r="AI18" s="361"/>
      <c r="AJ18" s="362"/>
      <c r="AK18" s="363"/>
      <c r="AL18" s="364"/>
      <c r="BQ18" s="369"/>
      <c r="BR18" s="369"/>
      <c r="BS18" s="369"/>
      <c r="BT18" s="369"/>
      <c r="BU18" s="369"/>
      <c r="BV18" s="369"/>
      <c r="BW18" s="369"/>
      <c r="BX18" s="369"/>
      <c r="BY18" s="369"/>
      <c r="BZ18" s="369"/>
      <c r="CA18" s="369"/>
      <c r="CB18" s="369"/>
      <c r="CC18" s="369"/>
      <c r="CD18" s="369"/>
      <c r="CE18" s="369"/>
      <c r="CF18" s="369"/>
      <c r="CG18" s="369"/>
      <c r="CH18" s="369"/>
      <c r="CI18" s="369"/>
      <c r="CJ18" s="369"/>
      <c r="CK18" s="369"/>
      <c r="CL18" s="369"/>
      <c r="CM18" s="369"/>
      <c r="CN18" s="369"/>
      <c r="CP18" s="369"/>
      <c r="CQ18" s="369"/>
      <c r="CR18" s="369"/>
      <c r="CS18" s="369"/>
      <c r="CT18" s="369"/>
      <c r="CU18" s="369"/>
      <c r="CV18" s="369"/>
      <c r="CW18" s="369"/>
      <c r="CX18" s="369"/>
      <c r="CY18" s="369"/>
      <c r="CZ18" s="369"/>
      <c r="DA18" s="369"/>
      <c r="DB18" s="369"/>
      <c r="DC18" s="369"/>
      <c r="DD18" s="369"/>
      <c r="DE18" s="369"/>
      <c r="DF18" s="369"/>
      <c r="DG18" s="369"/>
      <c r="DH18" s="369"/>
      <c r="DI18" s="369"/>
      <c r="DJ18" s="369"/>
      <c r="DK18" s="369"/>
      <c r="DL18" s="369"/>
      <c r="DM18" s="369"/>
    </row>
    <row r="19" spans="3:117" x14ac:dyDescent="0.25">
      <c r="C19" s="510" t="s">
        <v>71</v>
      </c>
      <c r="E19" s="517">
        <f t="shared" ref="E19:AB19" si="7">E15/E$10</f>
        <v>0</v>
      </c>
      <c r="F19" s="517">
        <f t="shared" si="7"/>
        <v>0</v>
      </c>
      <c r="G19" s="517">
        <f t="shared" si="7"/>
        <v>0</v>
      </c>
      <c r="H19" s="517">
        <f t="shared" si="7"/>
        <v>0</v>
      </c>
      <c r="I19" s="517">
        <f t="shared" si="7"/>
        <v>-0.38002508960573478</v>
      </c>
      <c r="J19" s="517">
        <f t="shared" si="7"/>
        <v>-0.50391836734693873</v>
      </c>
      <c r="K19" s="517">
        <f t="shared" si="7"/>
        <v>-0.45989947089947092</v>
      </c>
      <c r="L19" s="517">
        <f t="shared" si="7"/>
        <v>-0.55284577114427857</v>
      </c>
      <c r="M19" s="517">
        <f t="shared" si="7"/>
        <v>-0.48554210526315794</v>
      </c>
      <c r="N19" s="517">
        <f t="shared" si="7"/>
        <v>-0.52707387862796828</v>
      </c>
      <c r="O19" s="517">
        <f t="shared" si="7"/>
        <v>-0.55510732984293198</v>
      </c>
      <c r="P19" s="517">
        <f t="shared" si="7"/>
        <v>-0.53128929384965828</v>
      </c>
      <c r="Q19" s="517">
        <f t="shared" si="7"/>
        <v>0</v>
      </c>
      <c r="R19" s="517">
        <f t="shared" si="7"/>
        <v>0</v>
      </c>
      <c r="S19" s="517" t="e">
        <f t="shared" si="7"/>
        <v>#DIV/0!</v>
      </c>
      <c r="T19" s="517" t="e">
        <f t="shared" si="7"/>
        <v>#DIV/0!</v>
      </c>
      <c r="U19" s="517" t="e">
        <f t="shared" si="7"/>
        <v>#DIV/0!</v>
      </c>
      <c r="V19" s="517" t="e">
        <f t="shared" si="7"/>
        <v>#DIV/0!</v>
      </c>
      <c r="W19" s="517" t="e">
        <f t="shared" si="7"/>
        <v>#DIV/0!</v>
      </c>
      <c r="X19" s="517" t="e">
        <f t="shared" si="7"/>
        <v>#DIV/0!</v>
      </c>
      <c r="Y19" s="517" t="e">
        <f t="shared" si="7"/>
        <v>#DIV/0!</v>
      </c>
      <c r="Z19" s="517" t="e">
        <f t="shared" si="7"/>
        <v>#DIV/0!</v>
      </c>
      <c r="AA19" s="517" t="e">
        <f t="shared" si="7"/>
        <v>#DIV/0!</v>
      </c>
      <c r="AB19" s="517" t="e">
        <f t="shared" si="7"/>
        <v>#DIV/0!</v>
      </c>
      <c r="AD19" s="519">
        <f>_xlfn.XLOOKUP(AD$2,$E$5:$AB$5,$E19:$AB19)</f>
        <v>-0.55284577114427857</v>
      </c>
      <c r="AE19" s="517">
        <f>AE15/AE10</f>
        <v>0</v>
      </c>
      <c r="AF19" s="518">
        <f>(AE19-AD19)*100</f>
        <v>55.284577114427854</v>
      </c>
      <c r="AG19" s="519">
        <f>_xlfn.XLOOKUP(AG$2,$E$5:$AB$5,$E19:$AB19)</f>
        <v>-0.53128929384965828</v>
      </c>
      <c r="AH19" s="518">
        <f>($AE19-AG19)*100</f>
        <v>53.128929384965829</v>
      </c>
      <c r="AI19" s="519">
        <f>_xlfn.XLOOKUP(AI$2,$BQ$5:$CN$5,$BQ19:$CN19)</f>
        <v>0.48739495798319332</v>
      </c>
      <c r="AJ19" s="518">
        <f>($AE19-AI19)*100</f>
        <v>-48.739495798319332</v>
      </c>
      <c r="AR19" s="520" t="e">
        <f t="shared" ref="AR19:BO19" si="8">AR14/AR11</f>
        <v>#REF!</v>
      </c>
      <c r="AS19" s="520" t="e">
        <f t="shared" si="8"/>
        <v>#REF!</v>
      </c>
      <c r="AT19" s="520" t="e">
        <f t="shared" si="8"/>
        <v>#REF!</v>
      </c>
      <c r="AU19" s="520" t="e">
        <f t="shared" si="8"/>
        <v>#REF!</v>
      </c>
      <c r="AV19" s="520" t="e">
        <f t="shared" si="8"/>
        <v>#REF!</v>
      </c>
      <c r="AW19" s="520" t="e">
        <f t="shared" si="8"/>
        <v>#REF!</v>
      </c>
      <c r="AX19" s="520" t="e">
        <f t="shared" si="8"/>
        <v>#REF!</v>
      </c>
      <c r="AY19" s="520" t="e">
        <f t="shared" si="8"/>
        <v>#REF!</v>
      </c>
      <c r="AZ19" s="520" t="e">
        <f t="shared" si="8"/>
        <v>#REF!</v>
      </c>
      <c r="BA19" s="520" t="e">
        <f t="shared" si="8"/>
        <v>#REF!</v>
      </c>
      <c r="BB19" s="520" t="e">
        <f t="shared" si="8"/>
        <v>#REF!</v>
      </c>
      <c r="BC19" s="520" t="e">
        <f t="shared" si="8"/>
        <v>#REF!</v>
      </c>
      <c r="BD19" s="520" t="e">
        <f t="shared" si="8"/>
        <v>#REF!</v>
      </c>
      <c r="BE19" s="520" t="e">
        <f t="shared" si="8"/>
        <v>#REF!</v>
      </c>
      <c r="BF19" s="520" t="e">
        <f t="shared" si="8"/>
        <v>#REF!</v>
      </c>
      <c r="BG19" s="520" t="e">
        <f t="shared" si="8"/>
        <v>#REF!</v>
      </c>
      <c r="BH19" s="520" t="e">
        <f t="shared" si="8"/>
        <v>#REF!</v>
      </c>
      <c r="BI19" s="520" t="e">
        <f t="shared" si="8"/>
        <v>#REF!</v>
      </c>
      <c r="BJ19" s="520" t="e">
        <f t="shared" si="8"/>
        <v>#REF!</v>
      </c>
      <c r="BK19" s="520" t="e">
        <f t="shared" si="8"/>
        <v>#REF!</v>
      </c>
      <c r="BL19" s="520" t="e">
        <f t="shared" si="8"/>
        <v>#REF!</v>
      </c>
      <c r="BM19" s="520" t="e">
        <f t="shared" si="8"/>
        <v>#REF!</v>
      </c>
      <c r="BN19" s="520" t="e">
        <f t="shared" si="8"/>
        <v>#REF!</v>
      </c>
      <c r="BO19" s="520" t="e">
        <f t="shared" si="8"/>
        <v>#REF!</v>
      </c>
      <c r="BQ19" s="522">
        <v>0.49164677804295942</v>
      </c>
      <c r="BR19" s="522">
        <v>0.49469214437367298</v>
      </c>
      <c r="BS19" s="522">
        <v>0.5053763440860215</v>
      </c>
      <c r="BT19" s="522">
        <v>0.49395161290322581</v>
      </c>
      <c r="BU19" s="522">
        <v>0.48739495798319332</v>
      </c>
      <c r="BV19" s="522">
        <v>0.50463821892393323</v>
      </c>
      <c r="BW19" s="522">
        <v>0.4972067039106145</v>
      </c>
      <c r="BX19" s="522">
        <v>0.49902912621359219</v>
      </c>
      <c r="BY19" s="522">
        <v>0.5131313131313131</v>
      </c>
      <c r="BZ19" s="522">
        <v>0.53030303030303028</v>
      </c>
      <c r="CA19" s="522">
        <v>0.54659498207885304</v>
      </c>
      <c r="CB19" s="522">
        <v>0.52422510464474525</v>
      </c>
      <c r="CC19" s="522">
        <v>0.53169413856485426</v>
      </c>
      <c r="CD19" s="522">
        <v>0.5341045393823064</v>
      </c>
      <c r="CE19" s="522">
        <v>0.5340721895151368</v>
      </c>
      <c r="CF19" s="522">
        <v>0.53167570451480317</v>
      </c>
      <c r="CG19" s="522">
        <v>0.53400952714035277</v>
      </c>
      <c r="CH19" s="522">
        <v>0.5383552165875547</v>
      </c>
      <c r="CI19" s="522">
        <v>0.53872768262828874</v>
      </c>
      <c r="CJ19" s="522">
        <v>0.53741362528986236</v>
      </c>
      <c r="CK19" s="522">
        <v>0.53880647882126786</v>
      </c>
      <c r="CL19" s="522">
        <v>0.54285599654503736</v>
      </c>
      <c r="CM19" s="522">
        <v>0.54355124575402769</v>
      </c>
      <c r="CN19" s="522">
        <v>0.54088253710133283</v>
      </c>
      <c r="CP19" s="524">
        <f t="shared" ref="CP19:DE20" si="9">E19-BQ19</f>
        <v>-0.49164677804295942</v>
      </c>
      <c r="CQ19" s="524">
        <f t="shared" si="9"/>
        <v>-0.49469214437367298</v>
      </c>
      <c r="CR19" s="524">
        <f t="shared" si="9"/>
        <v>-0.5053763440860215</v>
      </c>
      <c r="CS19" s="524">
        <f t="shared" si="9"/>
        <v>-0.49395161290322581</v>
      </c>
      <c r="CT19" s="524">
        <f t="shared" si="9"/>
        <v>-0.8674200475889281</v>
      </c>
      <c r="CU19" s="524">
        <f t="shared" si="9"/>
        <v>-1.0085565862708719</v>
      </c>
      <c r="CV19" s="524">
        <f t="shared" si="9"/>
        <v>-0.95710617481008542</v>
      </c>
      <c r="CW19" s="524">
        <f t="shared" si="9"/>
        <v>-1.0518748973578709</v>
      </c>
      <c r="CX19" s="524">
        <f t="shared" si="9"/>
        <v>-0.99867341839447099</v>
      </c>
      <c r="CY19" s="524">
        <f t="shared" si="9"/>
        <v>-1.0573769089309986</v>
      </c>
      <c r="CZ19" s="524">
        <f t="shared" si="9"/>
        <v>-1.101702311921785</v>
      </c>
      <c r="DA19" s="524">
        <f t="shared" si="9"/>
        <v>-1.0555143984944035</v>
      </c>
      <c r="DB19" s="524">
        <f t="shared" si="9"/>
        <v>-0.53169413856485426</v>
      </c>
      <c r="DC19" s="524">
        <f t="shared" si="9"/>
        <v>-0.5341045393823064</v>
      </c>
      <c r="DD19" s="524" t="e">
        <f t="shared" si="9"/>
        <v>#DIV/0!</v>
      </c>
      <c r="DE19" s="524" t="e">
        <f t="shared" si="9"/>
        <v>#DIV/0!</v>
      </c>
      <c r="DF19" s="524" t="e">
        <f t="shared" ref="CZ19:DM20" si="10">U19-CG19</f>
        <v>#DIV/0!</v>
      </c>
      <c r="DG19" s="524" t="e">
        <f t="shared" si="10"/>
        <v>#DIV/0!</v>
      </c>
      <c r="DH19" s="524" t="e">
        <f t="shared" si="10"/>
        <v>#DIV/0!</v>
      </c>
      <c r="DI19" s="524" t="e">
        <f t="shared" si="10"/>
        <v>#DIV/0!</v>
      </c>
      <c r="DJ19" s="524" t="e">
        <f t="shared" si="10"/>
        <v>#DIV/0!</v>
      </c>
      <c r="DK19" s="524" t="e">
        <f t="shared" si="10"/>
        <v>#DIV/0!</v>
      </c>
      <c r="DL19" s="524" t="e">
        <f t="shared" si="10"/>
        <v>#DIV/0!</v>
      </c>
      <c r="DM19" s="524" t="e">
        <f t="shared" si="10"/>
        <v>#DIV/0!</v>
      </c>
    </row>
    <row r="20" spans="3:117" x14ac:dyDescent="0.25">
      <c r="C20" s="510" t="s">
        <v>121</v>
      </c>
      <c r="E20" s="517">
        <f t="shared" ref="E20:AB20" si="11">E16/E$10</f>
        <v>0</v>
      </c>
      <c r="F20" s="517">
        <f t="shared" si="11"/>
        <v>0</v>
      </c>
      <c r="G20" s="517">
        <f t="shared" si="11"/>
        <v>0</v>
      </c>
      <c r="H20" s="517">
        <f t="shared" si="11"/>
        <v>0</v>
      </c>
      <c r="I20" s="517">
        <f t="shared" si="11"/>
        <v>-0.1039426523297491</v>
      </c>
      <c r="J20" s="517">
        <f t="shared" si="11"/>
        <v>-0.17857142857142855</v>
      </c>
      <c r="K20" s="517">
        <f t="shared" si="11"/>
        <v>-9.5238095238095247E-2</v>
      </c>
      <c r="L20" s="517">
        <f t="shared" si="11"/>
        <v>-0.13681592039800994</v>
      </c>
      <c r="M20" s="517">
        <f t="shared" si="11"/>
        <v>-0.30263157894736842</v>
      </c>
      <c r="N20" s="517">
        <f t="shared" si="11"/>
        <v>-0.27176781002638523</v>
      </c>
      <c r="O20" s="517">
        <f t="shared" si="11"/>
        <v>-0.20163089005235602</v>
      </c>
      <c r="P20" s="517">
        <f t="shared" si="11"/>
        <v>-9.2350797266514809E-2</v>
      </c>
      <c r="Q20" s="517">
        <f t="shared" si="11"/>
        <v>0</v>
      </c>
      <c r="R20" s="517">
        <f t="shared" si="11"/>
        <v>0</v>
      </c>
      <c r="S20" s="517" t="e">
        <f t="shared" si="11"/>
        <v>#DIV/0!</v>
      </c>
      <c r="T20" s="517" t="e">
        <f t="shared" si="11"/>
        <v>#DIV/0!</v>
      </c>
      <c r="U20" s="517" t="e">
        <f t="shared" si="11"/>
        <v>#DIV/0!</v>
      </c>
      <c r="V20" s="517" t="e">
        <f t="shared" si="11"/>
        <v>#DIV/0!</v>
      </c>
      <c r="W20" s="517" t="e">
        <f t="shared" si="11"/>
        <v>#DIV/0!</v>
      </c>
      <c r="X20" s="517" t="e">
        <f t="shared" si="11"/>
        <v>#DIV/0!</v>
      </c>
      <c r="Y20" s="517" t="e">
        <f t="shared" si="11"/>
        <v>#DIV/0!</v>
      </c>
      <c r="Z20" s="517" t="e">
        <f t="shared" si="11"/>
        <v>#DIV/0!</v>
      </c>
      <c r="AA20" s="517" t="e">
        <f t="shared" si="11"/>
        <v>#DIV/0!</v>
      </c>
      <c r="AB20" s="517" t="e">
        <f t="shared" si="11"/>
        <v>#DIV/0!</v>
      </c>
      <c r="AD20" s="519">
        <f>_xlfn.XLOOKUP(AD$2,$E$5:$AB$5,$E20:$AB20)</f>
        <v>-0.13681592039800994</v>
      </c>
      <c r="AE20" s="517">
        <f>AE16/AE10</f>
        <v>0</v>
      </c>
      <c r="AF20" s="518">
        <f>(AE20-AD20)*100</f>
        <v>13.681592039800993</v>
      </c>
      <c r="AG20" s="519">
        <f>_xlfn.XLOOKUP(AG$2,$E$5:$AB$5,$E20:$AB20)</f>
        <v>-9.2350797266514809E-2</v>
      </c>
      <c r="AH20" s="518">
        <f>($AE20-AG20)*100</f>
        <v>9.235079726651481</v>
      </c>
      <c r="AI20" s="519">
        <f>_xlfn.XLOOKUP(AI$2,$BQ$5:$CN$5,$BQ20:$CN20)</f>
        <v>0.48739495798319332</v>
      </c>
      <c r="AJ20" s="518">
        <f>($AE20-AI20)*100</f>
        <v>-48.739495798319332</v>
      </c>
      <c r="AR20" s="520" t="e">
        <f t="shared" ref="AR20:BO20" si="12">AR15/AR12</f>
        <v>#DIV/0!</v>
      </c>
      <c r="AS20" s="520" t="e">
        <f t="shared" si="12"/>
        <v>#DIV/0!</v>
      </c>
      <c r="AT20" s="520" t="e">
        <f t="shared" si="12"/>
        <v>#DIV/0!</v>
      </c>
      <c r="AU20" s="520" t="e">
        <f t="shared" si="12"/>
        <v>#DIV/0!</v>
      </c>
      <c r="AV20" s="520" t="e">
        <f t="shared" si="12"/>
        <v>#DIV/0!</v>
      </c>
      <c r="AW20" s="520" t="e">
        <f t="shared" si="12"/>
        <v>#DIV/0!</v>
      </c>
      <c r="AX20" s="520" t="e">
        <f t="shared" si="12"/>
        <v>#DIV/0!</v>
      </c>
      <c r="AY20" s="520" t="e">
        <f t="shared" si="12"/>
        <v>#DIV/0!</v>
      </c>
      <c r="AZ20" s="520" t="e">
        <f t="shared" si="12"/>
        <v>#DIV/0!</v>
      </c>
      <c r="BA20" s="520" t="e">
        <f t="shared" si="12"/>
        <v>#DIV/0!</v>
      </c>
      <c r="BB20" s="520" t="e">
        <f t="shared" si="12"/>
        <v>#DIV/0!</v>
      </c>
      <c r="BC20" s="520" t="e">
        <f t="shared" si="12"/>
        <v>#DIV/0!</v>
      </c>
      <c r="BD20" s="520" t="e">
        <f t="shared" si="12"/>
        <v>#DIV/0!</v>
      </c>
      <c r="BE20" s="520" t="e">
        <f t="shared" si="12"/>
        <v>#DIV/0!</v>
      </c>
      <c r="BF20" s="520" t="e">
        <f t="shared" si="12"/>
        <v>#DIV/0!</v>
      </c>
      <c r="BG20" s="520" t="e">
        <f t="shared" si="12"/>
        <v>#DIV/0!</v>
      </c>
      <c r="BH20" s="520" t="e">
        <f t="shared" si="12"/>
        <v>#DIV/0!</v>
      </c>
      <c r="BI20" s="520" t="e">
        <f t="shared" si="12"/>
        <v>#DIV/0!</v>
      </c>
      <c r="BJ20" s="520" t="e">
        <f t="shared" si="12"/>
        <v>#DIV/0!</v>
      </c>
      <c r="BK20" s="520" t="e">
        <f t="shared" si="12"/>
        <v>#DIV/0!</v>
      </c>
      <c r="BL20" s="520" t="e">
        <f t="shared" si="12"/>
        <v>#DIV/0!</v>
      </c>
      <c r="BM20" s="520" t="e">
        <f t="shared" si="12"/>
        <v>#DIV/0!</v>
      </c>
      <c r="BN20" s="520" t="e">
        <f t="shared" si="12"/>
        <v>#DIV/0!</v>
      </c>
      <c r="BO20" s="520" t="e">
        <f t="shared" si="12"/>
        <v>#DIV/0!</v>
      </c>
      <c r="BQ20" s="522">
        <v>0.49164677804295942</v>
      </c>
      <c r="BR20" s="522">
        <v>0.49469214437367298</v>
      </c>
      <c r="BS20" s="522">
        <v>0.5053763440860215</v>
      </c>
      <c r="BT20" s="522">
        <v>0.49395161290322581</v>
      </c>
      <c r="BU20" s="522">
        <v>0.48739495798319332</v>
      </c>
      <c r="BV20" s="522">
        <v>0.50463821892393323</v>
      </c>
      <c r="BW20" s="522">
        <v>0.4972067039106145</v>
      </c>
      <c r="BX20" s="522">
        <v>0.49902912621359219</v>
      </c>
      <c r="BY20" s="522">
        <v>0.5131313131313131</v>
      </c>
      <c r="BZ20" s="522">
        <v>0.53030303030303028</v>
      </c>
      <c r="CA20" s="522">
        <v>0.54659498207885304</v>
      </c>
      <c r="CB20" s="522">
        <v>0.52422510464474525</v>
      </c>
      <c r="CC20" s="522">
        <v>0.53169413856485426</v>
      </c>
      <c r="CD20" s="522">
        <v>0.5341045393823064</v>
      </c>
      <c r="CE20" s="522">
        <v>0.5340721895151368</v>
      </c>
      <c r="CF20" s="522">
        <v>0.53167570451480317</v>
      </c>
      <c r="CG20" s="522">
        <v>0.53400952714035277</v>
      </c>
      <c r="CH20" s="522">
        <v>0.5383552165875547</v>
      </c>
      <c r="CI20" s="522">
        <v>0.53872768262828874</v>
      </c>
      <c r="CJ20" s="522">
        <v>0.53741362528986236</v>
      </c>
      <c r="CK20" s="522">
        <v>0.53880647882126786</v>
      </c>
      <c r="CL20" s="522">
        <v>0.54285599654503736</v>
      </c>
      <c r="CM20" s="522">
        <v>0.54355124575402769</v>
      </c>
      <c r="CN20" s="522">
        <v>0.54088253710133283</v>
      </c>
      <c r="CP20" s="524">
        <f t="shared" si="9"/>
        <v>-0.49164677804295942</v>
      </c>
      <c r="CQ20" s="524">
        <f t="shared" si="9"/>
        <v>-0.49469214437367298</v>
      </c>
      <c r="CR20" s="524">
        <f t="shared" si="9"/>
        <v>-0.5053763440860215</v>
      </c>
      <c r="CS20" s="524">
        <f t="shared" si="9"/>
        <v>-0.49395161290322581</v>
      </c>
      <c r="CT20" s="524">
        <f t="shared" si="9"/>
        <v>-0.59133761031294241</v>
      </c>
      <c r="CU20" s="524">
        <f t="shared" si="9"/>
        <v>-0.68320964749536173</v>
      </c>
      <c r="CV20" s="524">
        <f t="shared" si="9"/>
        <v>-0.59244479914870973</v>
      </c>
      <c r="CW20" s="524">
        <f t="shared" si="9"/>
        <v>-0.63584504661160213</v>
      </c>
      <c r="CX20" s="524">
        <f t="shared" si="9"/>
        <v>-0.81576289207868147</v>
      </c>
      <c r="CY20" s="524">
        <f t="shared" si="9"/>
        <v>-0.80207084032941545</v>
      </c>
      <c r="CZ20" s="524">
        <f t="shared" si="10"/>
        <v>-0.74822587213120906</v>
      </c>
      <c r="DA20" s="524">
        <f t="shared" si="10"/>
        <v>-0.6165759019112601</v>
      </c>
      <c r="DB20" s="524">
        <f t="shared" si="10"/>
        <v>-0.53169413856485426</v>
      </c>
      <c r="DC20" s="524">
        <f t="shared" si="10"/>
        <v>-0.5341045393823064</v>
      </c>
      <c r="DD20" s="524" t="e">
        <f t="shared" si="10"/>
        <v>#DIV/0!</v>
      </c>
      <c r="DE20" s="524" t="e">
        <f t="shared" si="10"/>
        <v>#DIV/0!</v>
      </c>
      <c r="DF20" s="524" t="e">
        <f t="shared" si="10"/>
        <v>#DIV/0!</v>
      </c>
      <c r="DG20" s="524" t="e">
        <f t="shared" si="10"/>
        <v>#DIV/0!</v>
      </c>
      <c r="DH20" s="524" t="e">
        <f t="shared" si="10"/>
        <v>#DIV/0!</v>
      </c>
      <c r="DI20" s="524" t="e">
        <f t="shared" si="10"/>
        <v>#DIV/0!</v>
      </c>
      <c r="DJ20" s="524" t="e">
        <f t="shared" si="10"/>
        <v>#DIV/0!</v>
      </c>
      <c r="DK20" s="524" t="e">
        <f t="shared" si="10"/>
        <v>#DIV/0!</v>
      </c>
      <c r="DL20" s="524" t="e">
        <f t="shared" si="10"/>
        <v>#DIV/0!</v>
      </c>
      <c r="DM20" s="524" t="e">
        <f t="shared" si="10"/>
        <v>#DIV/0!</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autoPageBreaks="0"/>
  </sheetPr>
  <dimension ref="A2:DM29"/>
  <sheetViews>
    <sheetView showGridLines="0" topLeftCell="A5" zoomScaleNormal="100" workbookViewId="0">
      <selection activeCell="AL26" sqref="AL26"/>
    </sheetView>
  </sheetViews>
  <sheetFormatPr defaultRowHeight="15" outlineLevelCol="1" x14ac:dyDescent="0.25"/>
  <cols>
    <col min="1" max="1" width="17.42578125" bestFit="1" customWidth="1"/>
    <col min="2" max="2" width="1.7109375" customWidth="1"/>
    <col min="3" max="3" width="27.85546875" customWidth="1"/>
    <col min="4" max="4" width="2.7109375" hidden="1" customWidth="1" outlineLevel="1"/>
    <col min="5" max="28" width="9.140625" hidden="1" customWidth="1" outlineLevel="1"/>
    <col min="29" max="29" width="2.7109375" hidden="1" customWidth="1" outlineLevel="1"/>
    <col min="30" max="30" width="9.140625" customWidth="1" collapsed="1"/>
    <col min="31" max="34" width="9.140625" customWidth="1"/>
    <col min="35" max="36" width="9.140625" hidden="1" customWidth="1" outlineLevel="1"/>
    <col min="37" max="37" width="1.7109375" customWidth="1" collapsed="1"/>
    <col min="38" max="38" width="33" customWidth="1"/>
    <col min="39" max="39" width="2.7109375" customWidth="1"/>
    <col min="42" max="42" width="22.28515625" bestFit="1" customWidth="1"/>
    <col min="43" max="43" width="2.7109375" customWidth="1"/>
    <col min="44" max="67" width="10.28515625" customWidth="1"/>
    <col min="68" max="68" width="2.7109375" customWidth="1"/>
    <col min="93" max="93" width="2.7109375" customWidth="1"/>
    <col min="118" max="118" width="2.7109375" customWidth="1"/>
  </cols>
  <sheetData>
    <row r="2" spans="1:117" x14ac:dyDescent="0.25">
      <c r="C2" s="507" t="s">
        <v>1262</v>
      </c>
      <c r="AD2" s="507" t="s">
        <v>1263</v>
      </c>
      <c r="AE2" s="526" t="str">
        <f>"1H26A"</f>
        <v>1H26A</v>
      </c>
      <c r="AG2" s="507" t="s">
        <v>1305</v>
      </c>
      <c r="AI2" s="525" t="s">
        <v>1305</v>
      </c>
      <c r="AL2" s="527" t="s">
        <v>1264</v>
      </c>
    </row>
    <row r="4" spans="1:117" s="345" customFormat="1" ht="20.100000000000001" customHeight="1" x14ac:dyDescent="0.25">
      <c r="C4" s="346" t="str">
        <f>"BBT " &amp; $C$2 &amp; " - First Take"</f>
        <v>BBT 1H26 - First Take</v>
      </c>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BQ4" s="347"/>
      <c r="BR4" s="347"/>
      <c r="BS4" s="347"/>
      <c r="BT4" s="347"/>
      <c r="BU4" s="347"/>
      <c r="BV4" s="347"/>
      <c r="BW4" s="347"/>
      <c r="BX4" s="347"/>
      <c r="BY4" s="347"/>
      <c r="BZ4" s="347"/>
      <c r="CA4" s="347"/>
      <c r="CB4" s="347"/>
      <c r="CC4" s="347"/>
      <c r="CD4" s="347"/>
      <c r="CE4" s="347"/>
      <c r="CF4" s="347"/>
      <c r="CG4" s="347"/>
      <c r="CH4" s="347"/>
      <c r="CI4" s="347"/>
      <c r="CJ4" s="347"/>
      <c r="CK4" s="347"/>
      <c r="CL4" s="347"/>
      <c r="CM4" s="347"/>
      <c r="CN4" s="347"/>
      <c r="CP4" s="347"/>
      <c r="CQ4" s="347"/>
      <c r="CR4" s="347"/>
      <c r="CS4" s="347"/>
      <c r="CT4" s="347"/>
      <c r="CU4" s="347"/>
      <c r="CV4" s="347"/>
      <c r="CW4" s="347"/>
      <c r="CX4" s="347"/>
      <c r="CY4" s="347"/>
      <c r="CZ4" s="347"/>
      <c r="DA4" s="347"/>
      <c r="DB4" s="347"/>
      <c r="DC4" s="347"/>
      <c r="DD4" s="347"/>
      <c r="DE4" s="347"/>
      <c r="DF4" s="347"/>
      <c r="DG4" s="347"/>
      <c r="DH4" s="347"/>
      <c r="DI4" s="347"/>
      <c r="DJ4" s="347"/>
      <c r="DK4" s="347"/>
      <c r="DL4" s="347"/>
      <c r="DM4" s="347"/>
    </row>
    <row r="5" spans="1:117" ht="30" customHeight="1" x14ac:dyDescent="0.25">
      <c r="A5" s="345"/>
      <c r="C5" s="348"/>
      <c r="D5" s="349"/>
      <c r="E5" s="349" t="str">
        <f>HY!E7</f>
        <v>1H24A</v>
      </c>
      <c r="F5" s="349" t="str">
        <f>HY!F7</f>
        <v>2H24A</v>
      </c>
      <c r="G5" s="349" t="str">
        <f>HY!G7</f>
        <v>1H25A</v>
      </c>
      <c r="H5" s="349" t="str">
        <f>HY!H7</f>
        <v>2H25A</v>
      </c>
      <c r="I5" s="349" t="str">
        <f>HY!I7</f>
        <v>1H26A</v>
      </c>
      <c r="J5" s="349" t="str">
        <f>HY!J7</f>
        <v>2H26A</v>
      </c>
      <c r="K5" s="349" t="str">
        <f>HY!K7</f>
        <v>1H27E</v>
      </c>
      <c r="L5" s="349" t="str">
        <f>HY!L7</f>
        <v>2H27E</v>
      </c>
      <c r="M5" s="349" t="str">
        <f>HY!M7</f>
        <v>1H28E</v>
      </c>
      <c r="N5" s="349" t="str">
        <f>HY!N7</f>
        <v>2H28E</v>
      </c>
      <c r="O5" s="349" t="str">
        <f>HY!O7</f>
        <v>1H29E</v>
      </c>
      <c r="P5" s="349" t="str">
        <f>HY!P7</f>
        <v>2H29E</v>
      </c>
      <c r="Q5" s="349" t="str">
        <f>HY!Q7</f>
        <v>1H30E</v>
      </c>
      <c r="R5" s="349" t="str">
        <f>HY!R7</f>
        <v>2H30E</v>
      </c>
      <c r="S5" s="349" t="str">
        <f>HY!S7</f>
        <v>1H31E</v>
      </c>
      <c r="T5" s="349" t="str">
        <f>HY!T7</f>
        <v>2H31E</v>
      </c>
      <c r="U5" s="349" t="str">
        <f>HY!U7</f>
        <v>1H32E</v>
      </c>
      <c r="V5" s="349" t="str">
        <f>HY!V7</f>
        <v>2H32E</v>
      </c>
      <c r="W5" s="349" t="str">
        <f>HY!W7</f>
        <v>1H33E</v>
      </c>
      <c r="X5" s="349" t="str">
        <f>HY!X7</f>
        <v>2H33E</v>
      </c>
      <c r="Y5" s="349" t="str">
        <f>HY!Y7</f>
        <v>1H34E</v>
      </c>
      <c r="Z5" s="349" t="str">
        <f>HY!Z7</f>
        <v>2H34E</v>
      </c>
      <c r="AA5" s="349" t="str">
        <f>HY!AA7</f>
        <v>1H35E</v>
      </c>
      <c r="AB5" s="349" t="str">
        <f>HY!AB7</f>
        <v>2H35E</v>
      </c>
      <c r="AC5" s="349"/>
      <c r="AD5" s="350" t="str">
        <f>AD$2</f>
        <v>1H25A</v>
      </c>
      <c r="AE5" s="348" t="str">
        <f>AE$2</f>
        <v>1H26A</v>
      </c>
      <c r="AF5" s="351" t="s">
        <v>1265</v>
      </c>
      <c r="AG5" s="352" t="str">
        <f>"E&amp;Pe "&amp;AG$2</f>
        <v>E&amp;Pe 1H27E</v>
      </c>
      <c r="AH5" s="351" t="s">
        <v>1266</v>
      </c>
      <c r="AI5" s="352" t="str">
        <f>"VA Cons.  "&amp;AG$2</f>
        <v>VA Cons.  1H27E</v>
      </c>
      <c r="AJ5" s="353" t="s">
        <v>1266</v>
      </c>
      <c r="AK5" s="354"/>
      <c r="AN5" s="356"/>
      <c r="AO5" s="356"/>
      <c r="AP5" s="356"/>
      <c r="AQ5" s="356"/>
      <c r="AR5" s="355" t="s">
        <v>1267</v>
      </c>
      <c r="AS5" s="355" t="s">
        <v>1268</v>
      </c>
      <c r="AT5" s="355" t="s">
        <v>1269</v>
      </c>
      <c r="AU5" s="355" t="s">
        <v>1270</v>
      </c>
      <c r="AV5" s="355" t="s">
        <v>1262</v>
      </c>
      <c r="AW5" s="355" t="s">
        <v>1</v>
      </c>
      <c r="AX5" s="355" t="s">
        <v>1271</v>
      </c>
      <c r="AY5" s="355" t="s">
        <v>1272</v>
      </c>
      <c r="AZ5" s="355" t="s">
        <v>1273</v>
      </c>
      <c r="BA5" s="355" t="s">
        <v>1274</v>
      </c>
      <c r="BB5" s="355" t="s">
        <v>1275</v>
      </c>
      <c r="BC5" s="355" t="s">
        <v>1276</v>
      </c>
      <c r="BD5" s="355" t="s">
        <v>1277</v>
      </c>
      <c r="BE5" s="355" t="s">
        <v>1278</v>
      </c>
      <c r="BF5" s="355" t="s">
        <v>1279</v>
      </c>
      <c r="BG5" s="355" t="s">
        <v>1280</v>
      </c>
      <c r="BH5" s="355" t="s">
        <v>1281</v>
      </c>
      <c r="BI5" s="355" t="s">
        <v>1282</v>
      </c>
      <c r="BJ5" s="355" t="s">
        <v>1283</v>
      </c>
      <c r="BK5" s="355" t="s">
        <v>1284</v>
      </c>
      <c r="BL5" s="355" t="s">
        <v>1285</v>
      </c>
      <c r="BM5" s="355" t="s">
        <v>1286</v>
      </c>
      <c r="BN5" s="355" t="s">
        <v>1287</v>
      </c>
      <c r="BO5" s="355" t="s">
        <v>1288</v>
      </c>
      <c r="BQ5" s="355" t="s">
        <v>1267</v>
      </c>
      <c r="BR5" s="355" t="s">
        <v>1268</v>
      </c>
      <c r="BS5" s="355" t="s">
        <v>1269</v>
      </c>
      <c r="BT5" s="355" t="s">
        <v>1270</v>
      </c>
      <c r="BU5" s="355" t="s">
        <v>1262</v>
      </c>
      <c r="BV5" s="355" t="s">
        <v>1</v>
      </c>
      <c r="BW5" s="355" t="s">
        <v>1271</v>
      </c>
      <c r="BX5" s="355" t="s">
        <v>1272</v>
      </c>
      <c r="BY5" s="355" t="s">
        <v>1273</v>
      </c>
      <c r="BZ5" s="355" t="s">
        <v>1274</v>
      </c>
      <c r="CA5" s="355" t="s">
        <v>1275</v>
      </c>
      <c r="CB5" s="355" t="s">
        <v>1276</v>
      </c>
      <c r="CC5" s="355" t="s">
        <v>1277</v>
      </c>
      <c r="CD5" s="355" t="s">
        <v>1278</v>
      </c>
      <c r="CE5" s="355" t="s">
        <v>1279</v>
      </c>
      <c r="CF5" s="355" t="s">
        <v>1280</v>
      </c>
      <c r="CG5" s="355" t="s">
        <v>1281</v>
      </c>
      <c r="CH5" s="355" t="s">
        <v>1282</v>
      </c>
      <c r="CI5" s="355" t="s">
        <v>1283</v>
      </c>
      <c r="CJ5" s="355" t="s">
        <v>1284</v>
      </c>
      <c r="CK5" s="355" t="s">
        <v>1285</v>
      </c>
      <c r="CL5" s="355" t="s">
        <v>1286</v>
      </c>
      <c r="CM5" s="355" t="s">
        <v>1287</v>
      </c>
      <c r="CN5" s="355" t="s">
        <v>1288</v>
      </c>
      <c r="CP5" s="355" t="s">
        <v>1267</v>
      </c>
      <c r="CQ5" s="355" t="s">
        <v>1268</v>
      </c>
      <c r="CR5" s="355" t="s">
        <v>1269</v>
      </c>
      <c r="CS5" s="355" t="s">
        <v>1270</v>
      </c>
      <c r="CT5" s="355" t="s">
        <v>1262</v>
      </c>
      <c r="CU5" s="355" t="s">
        <v>1</v>
      </c>
      <c r="CV5" s="355" t="s">
        <v>1271</v>
      </c>
      <c r="CW5" s="355" t="s">
        <v>1272</v>
      </c>
      <c r="CX5" s="355" t="s">
        <v>1273</v>
      </c>
      <c r="CY5" s="355" t="s">
        <v>1274</v>
      </c>
      <c r="CZ5" s="355" t="s">
        <v>1275</v>
      </c>
      <c r="DA5" s="355" t="s">
        <v>1276</v>
      </c>
      <c r="DB5" s="355" t="s">
        <v>1277</v>
      </c>
      <c r="DC5" s="355" t="s">
        <v>1278</v>
      </c>
      <c r="DD5" s="355" t="s">
        <v>1279</v>
      </c>
      <c r="DE5" s="355" t="s">
        <v>1280</v>
      </c>
      <c r="DF5" s="355" t="s">
        <v>1281</v>
      </c>
      <c r="DG5" s="355" t="s">
        <v>1282</v>
      </c>
      <c r="DH5" s="355" t="s">
        <v>1283</v>
      </c>
      <c r="DI5" s="355" t="s">
        <v>1284</v>
      </c>
      <c r="DJ5" s="355" t="s">
        <v>1285</v>
      </c>
      <c r="DK5" s="355" t="s">
        <v>1286</v>
      </c>
      <c r="DL5" s="355" t="s">
        <v>1287</v>
      </c>
      <c r="DM5" s="355" t="s">
        <v>1288</v>
      </c>
    </row>
    <row r="6" spans="1:117" x14ac:dyDescent="0.25">
      <c r="C6" s="511" t="s">
        <v>1289</v>
      </c>
      <c r="D6" s="357"/>
      <c r="E6" s="357"/>
      <c r="F6" s="357"/>
      <c r="G6" s="357"/>
      <c r="H6" s="357"/>
      <c r="I6" s="357"/>
      <c r="J6" s="357"/>
      <c r="K6" s="357"/>
      <c r="L6" s="357"/>
      <c r="M6" s="357"/>
      <c r="N6" s="357"/>
      <c r="O6" s="357"/>
      <c r="P6" s="357"/>
      <c r="Q6" s="357"/>
      <c r="R6" s="357"/>
      <c r="S6" s="357"/>
      <c r="T6" s="357"/>
      <c r="U6" s="357"/>
      <c r="V6" s="357"/>
      <c r="W6" s="357"/>
      <c r="X6" s="357"/>
      <c r="Y6" s="357"/>
      <c r="Z6" s="357"/>
      <c r="AA6" s="357"/>
      <c r="AB6" s="357"/>
      <c r="AC6" s="357"/>
      <c r="AD6" s="358"/>
      <c r="AE6" s="357"/>
      <c r="AF6" s="359"/>
      <c r="AG6" s="358"/>
      <c r="AH6" s="359"/>
      <c r="AI6" s="358"/>
      <c r="AJ6" s="359"/>
      <c r="AK6" s="357"/>
      <c r="AN6" s="356"/>
      <c r="AO6" s="356"/>
      <c r="AP6" s="356"/>
      <c r="AQ6" s="356"/>
    </row>
    <row r="7" spans="1:117" x14ac:dyDescent="0.25">
      <c r="C7" s="509" t="s">
        <v>60</v>
      </c>
      <c r="D7" s="360"/>
      <c r="E7" s="360">
        <f>HY!E112</f>
        <v>27.9</v>
      </c>
      <c r="F7" s="360">
        <f>HY!F112</f>
        <v>29.700000000000003</v>
      </c>
      <c r="G7" s="360">
        <f>HY!G112</f>
        <v>63.6</v>
      </c>
      <c r="H7" s="360">
        <f>HY!H112</f>
        <v>71</v>
      </c>
      <c r="I7" s="360">
        <f>HY!I112</f>
        <v>68.900000000000006</v>
      </c>
      <c r="J7" s="360">
        <f>HY!J112</f>
        <v>76.5</v>
      </c>
      <c r="K7" s="360">
        <f>HY!K112</f>
        <v>83.959199999999996</v>
      </c>
      <c r="L7" s="360">
        <f>HY!L112</f>
        <v>82.705632727272757</v>
      </c>
      <c r="M7" s="360">
        <f>HY!M112</f>
        <v>88.15715999999999</v>
      </c>
      <c r="N7" s="360">
        <f>HY!N112</f>
        <v>86.840914363636386</v>
      </c>
      <c r="O7" s="360">
        <f>HY!O112</f>
        <v>92.565017999999995</v>
      </c>
      <c r="P7" s="360">
        <f>HY!P112</f>
        <v>91.182960081818209</v>
      </c>
      <c r="Q7" s="360">
        <f>HY!Q112</f>
        <v>97.193268900000007</v>
      </c>
      <c r="R7" s="360">
        <f>HY!R112</f>
        <v>95.742108085909138</v>
      </c>
      <c r="S7" s="360">
        <f>HY!S112</f>
        <v>102.05293234499999</v>
      </c>
      <c r="T7" s="360">
        <f>HY!T112</f>
        <v>100.5292134902046</v>
      </c>
      <c r="U7" s="360">
        <f>HY!U112</f>
        <v>107.15557896225002</v>
      </c>
      <c r="V7" s="360">
        <f>HY!V112</f>
        <v>105.55567416471484</v>
      </c>
      <c r="W7" s="360">
        <f>HY!W112</f>
        <v>112.51335791036249</v>
      </c>
      <c r="X7" s="360">
        <f>HY!X112</f>
        <v>110.83345787295059</v>
      </c>
      <c r="Y7" s="360">
        <f>HY!Y112</f>
        <v>118.13902580588061</v>
      </c>
      <c r="Z7" s="360">
        <f>HY!Z112</f>
        <v>116.37513076659812</v>
      </c>
      <c r="AA7" s="360">
        <f>HY!AA112</f>
        <v>124.04597709617465</v>
      </c>
      <c r="AB7" s="360">
        <f>HY!AB112</f>
        <v>122.19388730492804</v>
      </c>
      <c r="AC7" s="515"/>
      <c r="AD7" s="361">
        <f>_xlfn.XLOOKUP(AD$2,$E$5:$AB$5,$E7:$AB7)</f>
        <v>63.6</v>
      </c>
      <c r="AE7" s="515"/>
      <c r="AF7" s="362">
        <f>AE7/AD7-1</f>
        <v>-1</v>
      </c>
      <c r="AG7" s="361">
        <f>_xlfn.XLOOKUP(AG$2,$E$5:$AB$5,$E7:$AB7)</f>
        <v>83.959199999999996</v>
      </c>
      <c r="AH7" s="362">
        <f>$AE7/AG7-1</f>
        <v>-1</v>
      </c>
      <c r="AI7" s="361" t="e">
        <f>_xlfn.XLOOKUP(AI$2,$BQ$5:$CN$5,$BQ7:$CN7)</f>
        <v>#N/A</v>
      </c>
      <c r="AJ7" s="362" t="e">
        <f>$AE7/AI7-1</f>
        <v>#N/A</v>
      </c>
      <c r="AK7" s="363"/>
      <c r="AL7" s="364"/>
      <c r="AN7" s="365" t="s">
        <v>1225</v>
      </c>
      <c r="AO7" s="365" t="s">
        <v>1290</v>
      </c>
      <c r="AP7" s="366" t="s">
        <v>1231</v>
      </c>
      <c r="AQ7" s="366"/>
      <c r="AR7" s="367" t="str">
        <f>_xll.VAData($AN7,AR$5,$AO7,$AP7)</f>
        <v>#NotAvailable</v>
      </c>
      <c r="AS7" s="367" t="str">
        <f>_xll.VAData($AN7,AS$5,$AO7,$AP7)</f>
        <v>#NotAvailable</v>
      </c>
      <c r="AT7" s="367" t="str">
        <f>_xll.VAData($AN7,AT$5,$AO7,$AP7)</f>
        <v>#NotAvailable</v>
      </c>
      <c r="AU7" s="367" t="str">
        <f>_xll.VAData($AN7,AU$5,$AO7,$AP7)</f>
        <v>#NotAvailable</v>
      </c>
      <c r="AV7" s="367" t="str">
        <f>_xll.VAData($AN7,AV$5,$AO7,$AP7)</f>
        <v>#NotAvailable</v>
      </c>
      <c r="AW7" s="367" t="str">
        <f>_xll.VAData($AN7,AW$5,$AO7,$AP7)</f>
        <v>#NotAvailable</v>
      </c>
      <c r="AX7" s="367" t="str">
        <f>_xll.VAData($AN7,AX$5,$AO7,$AP7)</f>
        <v>#NotAvailable</v>
      </c>
      <c r="AY7" s="367" t="str">
        <f>_xll.VAData($AN7,AY$5,$AO7,$AP7)</f>
        <v>#NotAvailable</v>
      </c>
      <c r="AZ7" s="367" t="str">
        <f>_xll.VAData($AN7,AZ$5,$AO7,$AP7)</f>
        <v>#NotAvailable</v>
      </c>
      <c r="BA7" s="367" t="str">
        <f>_xll.VAData($AN7,BA$5,$AO7,$AP7)</f>
        <v>#NotAvailable</v>
      </c>
      <c r="BB7" s="367" t="str">
        <f>_xll.VAData($AN7,BB$5,$AO7,$AP7)</f>
        <v>#NotAvailable</v>
      </c>
      <c r="BC7" s="367" t="str">
        <f>_xll.VAData($AN7,BC$5,$AO7,$AP7)</f>
        <v>#NotAvailable</v>
      </c>
      <c r="BD7" s="367" t="str">
        <f>_xll.VAData($AN7,BD$5,$AO7,$AP7)</f>
        <v>#NotAvailable</v>
      </c>
      <c r="BE7" s="367" t="str">
        <f>_xll.VAData($AN7,BE$5,$AO7,$AP7)</f>
        <v>#NotAvailable</v>
      </c>
      <c r="BF7" s="367" t="str">
        <f>_xll.VAData($AN7,BF$5,$AO7,$AP7)</f>
        <v>#NotAvailable</v>
      </c>
      <c r="BG7" s="367" t="str">
        <f>_xll.VAData($AN7,BG$5,$AO7,$AP7)</f>
        <v>#NotAvailable</v>
      </c>
      <c r="BH7" s="367" t="str">
        <f>_xll.VAData($AN7,BH$5,$AO7,$AP7)</f>
        <v>#NotAvailable</v>
      </c>
      <c r="BI7" s="367" t="str">
        <f>_xll.VAData($AN7,BI$5,$AO7,$AP7)</f>
        <v>#NotAvailable</v>
      </c>
      <c r="BJ7" s="367" t="str">
        <f>_xll.VAData($AN7,BJ$5,$AO7,$AP7)</f>
        <v>#NotAvailable</v>
      </c>
      <c r="BK7" s="367" t="str">
        <f>_xll.VAData($AN7,BK$5,$AO7,$AP7)</f>
        <v>#NotAvailable</v>
      </c>
      <c r="BL7" s="367" t="str">
        <f>_xll.VAData($AN7,BL$5,$AO7,$AP7)</f>
        <v>#NotAvailable</v>
      </c>
      <c r="BM7" s="367" t="str">
        <f>_xll.VAData($AN7,BM$5,$AO7,$AP7)</f>
        <v>#NotAvailable</v>
      </c>
      <c r="BN7" s="367" t="str">
        <f>_xll.VAData($AN7,BN$5,$AO7,$AP7)</f>
        <v>#NotAvailable</v>
      </c>
      <c r="BO7" s="367" t="str">
        <f>_xll.VAData($AN7,BO$5,$AO7,$AP7)</f>
        <v>#NotAvailable</v>
      </c>
      <c r="BP7" s="368"/>
      <c r="BQ7" s="521">
        <v>670</v>
      </c>
      <c r="BR7" s="521">
        <v>731</v>
      </c>
      <c r="BS7" s="521">
        <v>731</v>
      </c>
      <c r="BT7" s="521">
        <v>770</v>
      </c>
      <c r="BU7" s="521">
        <v>756</v>
      </c>
      <c r="BV7" s="521">
        <v>818</v>
      </c>
      <c r="BW7" s="521">
        <v>817</v>
      </c>
      <c r="BX7" s="521">
        <v>797</v>
      </c>
      <c r="BY7" s="521">
        <v>774</v>
      </c>
      <c r="BZ7" s="521">
        <v>809</v>
      </c>
      <c r="CA7" s="521">
        <v>841</v>
      </c>
      <c r="CB7" s="521">
        <v>905.36820495755489</v>
      </c>
      <c r="CC7" s="521">
        <v>875.46347162126517</v>
      </c>
      <c r="CD7" s="521">
        <v>898.12113934165075</v>
      </c>
      <c r="CE7" s="521">
        <v>908.46085786331196</v>
      </c>
      <c r="CF7" s="521">
        <v>944.75270883468704</v>
      </c>
      <c r="CG7" s="521">
        <v>931.68798970008049</v>
      </c>
      <c r="CH7" s="521">
        <v>950.03303252656644</v>
      </c>
      <c r="CI7" s="521">
        <v>959.1228881659938</v>
      </c>
      <c r="CJ7" s="521">
        <v>1007.019746349318</v>
      </c>
      <c r="CK7" s="521">
        <v>1002.174762710505</v>
      </c>
      <c r="CL7" s="521">
        <v>1019.647999654274</v>
      </c>
      <c r="CM7" s="521">
        <v>1027.2679999711729</v>
      </c>
      <c r="CN7" s="521">
        <v>1068.7796992050071</v>
      </c>
      <c r="CO7" s="368"/>
      <c r="CP7" s="523">
        <f t="shared" ref="CP7:CY9" si="0">E7-BQ7</f>
        <v>-642.1</v>
      </c>
      <c r="CQ7" s="523">
        <f t="shared" si="0"/>
        <v>-701.3</v>
      </c>
      <c r="CR7" s="523">
        <f t="shared" si="0"/>
        <v>-667.4</v>
      </c>
      <c r="CS7" s="523">
        <f t="shared" si="0"/>
        <v>-699</v>
      </c>
      <c r="CT7" s="523">
        <f t="shared" si="0"/>
        <v>-687.1</v>
      </c>
      <c r="CU7" s="523">
        <f t="shared" si="0"/>
        <v>-741.5</v>
      </c>
      <c r="CV7" s="523">
        <f t="shared" si="0"/>
        <v>-733.04079999999999</v>
      </c>
      <c r="CW7" s="523">
        <f t="shared" si="0"/>
        <v>-714.29436727272719</v>
      </c>
      <c r="CX7" s="523">
        <f t="shared" si="0"/>
        <v>-685.84284000000002</v>
      </c>
      <c r="CY7" s="523">
        <f t="shared" si="0"/>
        <v>-722.15908563636367</v>
      </c>
      <c r="CZ7" s="523">
        <f t="shared" ref="CZ7:DI9" si="1">O7-CA7</f>
        <v>-748.43498199999999</v>
      </c>
      <c r="DA7" s="523">
        <f t="shared" si="1"/>
        <v>-814.18524487573666</v>
      </c>
      <c r="DB7" s="523">
        <f t="shared" si="1"/>
        <v>-778.27020272126515</v>
      </c>
      <c r="DC7" s="523">
        <f t="shared" si="1"/>
        <v>-802.37903125574167</v>
      </c>
      <c r="DD7" s="523">
        <f t="shared" si="1"/>
        <v>-806.40792551831191</v>
      </c>
      <c r="DE7" s="523">
        <f t="shared" si="1"/>
        <v>-844.22349534448244</v>
      </c>
      <c r="DF7" s="523">
        <f t="shared" si="1"/>
        <v>-824.53241073783045</v>
      </c>
      <c r="DG7" s="523">
        <f t="shared" si="1"/>
        <v>-844.47735836185166</v>
      </c>
      <c r="DH7" s="523">
        <f t="shared" si="1"/>
        <v>-846.60953025563128</v>
      </c>
      <c r="DI7" s="523">
        <f t="shared" si="1"/>
        <v>-896.18628847636739</v>
      </c>
      <c r="DJ7" s="523">
        <f t="shared" ref="DJ7:DM9" si="2">Y7-CK7</f>
        <v>-884.0357369046244</v>
      </c>
      <c r="DK7" s="523">
        <f t="shared" si="2"/>
        <v>-903.27286888767594</v>
      </c>
      <c r="DL7" s="523">
        <f t="shared" si="2"/>
        <v>-903.22202287499829</v>
      </c>
      <c r="DM7" s="523">
        <f t="shared" si="2"/>
        <v>-946.58581190007908</v>
      </c>
    </row>
    <row r="8" spans="1:117" x14ac:dyDescent="0.25">
      <c r="C8" s="509" t="s">
        <v>1291</v>
      </c>
      <c r="D8" s="360"/>
      <c r="E8" s="360">
        <f>HY!E119</f>
        <v>-1.7</v>
      </c>
      <c r="F8" s="360">
        <f>HY!F119</f>
        <v>1.9</v>
      </c>
      <c r="G8" s="360">
        <f>HY!G119</f>
        <v>1.7</v>
      </c>
      <c r="H8" s="360">
        <f>HY!H119</f>
        <v>5.5</v>
      </c>
      <c r="I8" s="360">
        <f>HY!I119</f>
        <v>-13.2</v>
      </c>
      <c r="J8" s="360">
        <f>HY!J119</f>
        <v>6.1</v>
      </c>
      <c r="K8" s="360">
        <f>HY!K119</f>
        <v>5.4973803647058688</v>
      </c>
      <c r="L8" s="360">
        <f>HY!L119</f>
        <v>10.974312621889503</v>
      </c>
      <c r="M8" s="360">
        <f>HY!M119</f>
        <v>8.6279154009411769</v>
      </c>
      <c r="N8" s="360">
        <f>HY!N119</f>
        <v>12.952452307583965</v>
      </c>
      <c r="O8" s="360">
        <f>HY!O119</f>
        <v>10.652694631588233</v>
      </c>
      <c r="P8" s="360">
        <f>HY!P119</f>
        <v>14.878359362683156</v>
      </c>
      <c r="Q8" s="360">
        <f>HY!Q119</f>
        <v>12.795198300017649</v>
      </c>
      <c r="R8" s="360">
        <f>HY!R119</f>
        <v>15.628457330817334</v>
      </c>
      <c r="S8" s="360">
        <f>HY!S119</f>
        <v>14.002614742916016</v>
      </c>
      <c r="T8" s="360">
        <f>HY!T119</f>
        <v>16.969156271554311</v>
      </c>
      <c r="U8" s="360">
        <f>HY!U119</f>
        <v>14.709301842061837</v>
      </c>
      <c r="V8" s="360">
        <f>HY!V119</f>
        <v>17.824170447132033</v>
      </c>
      <c r="W8" s="360">
        <f>HY!W119</f>
        <v>15.451519987024902</v>
      </c>
      <c r="X8" s="360">
        <f>HY!X119</f>
        <v>18.722132022348632</v>
      </c>
      <c r="Y8" s="360">
        <f>HY!Y119</f>
        <v>16.231051630821945</v>
      </c>
      <c r="Z8" s="360">
        <f>HY!Z119</f>
        <v>19.665194267911858</v>
      </c>
      <c r="AA8" s="360">
        <f>HY!AA119</f>
        <v>17.049768526142238</v>
      </c>
      <c r="AB8" s="360">
        <f>HY!AB119</f>
        <v>20.65561829508664</v>
      </c>
      <c r="AC8" s="515"/>
      <c r="AD8" s="361">
        <f>_xlfn.XLOOKUP(AD$2,$E$5:$AB$5,$E8:$AB8)</f>
        <v>1.7</v>
      </c>
      <c r="AE8" s="515"/>
      <c r="AF8" s="362">
        <f>AE8/AD8-1</f>
        <v>-1</v>
      </c>
      <c r="AG8" s="361">
        <f>_xlfn.XLOOKUP(AG$2,$E$5:$AB$5,$E8:$AB8)</f>
        <v>5.4973803647058688</v>
      </c>
      <c r="AH8" s="362">
        <f>$AE8/AG8-1</f>
        <v>-1</v>
      </c>
      <c r="AI8" s="361" t="e">
        <f>_xlfn.XLOOKUP(AI$2,$BQ$5:$CN$5,$BQ8:$CN8)</f>
        <v>#N/A</v>
      </c>
      <c r="AJ8" s="362" t="e">
        <f>$AE8/AI8-1</f>
        <v>#N/A</v>
      </c>
      <c r="AK8" s="363"/>
      <c r="AL8" s="364"/>
      <c r="AN8" s="365" t="s">
        <v>1292</v>
      </c>
      <c r="AO8" s="365" t="s">
        <v>1237</v>
      </c>
      <c r="AP8" s="366" t="s">
        <v>1231</v>
      </c>
      <c r="AQ8" s="366"/>
      <c r="AR8" s="367">
        <f>_xll.VAData($AN8,AR$5,$AO8,$AP8)</f>
        <v>611</v>
      </c>
      <c r="AS8" s="367">
        <f>_xll.VAData($AN8,AS$5,$AO8,$AP8)</f>
        <v>633</v>
      </c>
      <c r="AT8" s="367">
        <f>_xll.VAData($AN8,AT$5,$AO8,$AP8)</f>
        <v>663</v>
      </c>
      <c r="AU8" s="367">
        <f>_xll.VAData($AN8,AU$5,$AO8,$AP8)</f>
        <v>780</v>
      </c>
      <c r="AV8" s="367">
        <f>_xll.VAData($AN8,AV$5,$AO8,$AP8)</f>
        <v>710</v>
      </c>
      <c r="AW8" s="367">
        <f>_xll.VAData($AN8,AW$5,$AO8,$AP8)</f>
        <v>811.5457827058749</v>
      </c>
      <c r="AX8" s="367">
        <f>_xll.VAData($AN8,AX$5,$AO8,$AP8)</f>
        <v>787.47313675347868</v>
      </c>
      <c r="AY8" s="367">
        <f>_xll.VAData($AN8,AY$5,$AO8,$AP8)</f>
        <v>871.99965838841035</v>
      </c>
      <c r="AZ8" s="367">
        <f>_xll.VAData($AN8,AZ$5,$AO8,$AP8)</f>
        <v>848.52667200131646</v>
      </c>
      <c r="BA8" s="367">
        <f>_xll.VAData($AN8,BA$5,$AO8,$AP8)</f>
        <v>930.54996640989043</v>
      </c>
      <c r="BB8" s="367">
        <f>_xll.VAData($AN8,BB$5,$AO8,$AP8)</f>
        <v>893.09082194065354</v>
      </c>
      <c r="BC8" s="367">
        <f>_xll.VAData($AN8,BC$5,$AO8,$AP8)</f>
        <v>975.44144123081367</v>
      </c>
      <c r="BD8" s="367">
        <f>_xll.VAData($AN8,BD$5,$AO8,$AP8)</f>
        <v>942.49803521647721</v>
      </c>
      <c r="BE8" s="367">
        <f>_xll.VAData($AN8,BE$5,$AO8,$AP8)</f>
        <v>1025.2612290906557</v>
      </c>
      <c r="BF8" s="367">
        <f>_xll.VAData($AN8,BF$5,$AO8,$AP8)</f>
        <v>993.14741195436466</v>
      </c>
      <c r="BG8" s="367">
        <f>_xll.VAData($AN8,BG$5,$AO8,$AP8)</f>
        <v>1076.6256358507615</v>
      </c>
      <c r="BH8" s="367">
        <f>_xll.VAData($AN8,BH$5,$AO8,$AP8)</f>
        <v>1043.1211110995603</v>
      </c>
      <c r="BI8" s="367">
        <f>_xll.VAData($AN8,BI$5,$AO8,$AP8)</f>
        <v>1130.8264503104679</v>
      </c>
      <c r="BJ8" s="367">
        <f>_xll.VAData($AN8,BJ$5,$AO8,$AP8)</f>
        <v>1086.7030007350857</v>
      </c>
      <c r="BK8" s="367">
        <f>_xll.VAData($AN8,BK$5,$AO8,$AP8)</f>
        <v>1189.2209661086474</v>
      </c>
      <c r="BL8" s="367">
        <f>_xll.VAData($AN8,BL$5,$AO8,$AP8)</f>
        <v>1138.6491824763709</v>
      </c>
      <c r="BM8" s="367">
        <f>_xll.VAData($AN8,BM$5,$AO8,$AP8)</f>
        <v>1243.9253581332937</v>
      </c>
      <c r="BN8" s="367">
        <f>_xll.VAData($AN8,BN$5,$AO8,$AP8)</f>
        <v>1189.3361313862181</v>
      </c>
      <c r="BO8" s="367">
        <f>_xll.VAData($AN8,BO$5,$AO8,$AP8)</f>
        <v>1298.5501568632258</v>
      </c>
      <c r="BP8" s="368"/>
      <c r="BQ8" s="521">
        <v>249</v>
      </c>
      <c r="BR8" s="521">
        <v>281</v>
      </c>
      <c r="BS8" s="521">
        <v>286</v>
      </c>
      <c r="BT8" s="521">
        <v>302</v>
      </c>
      <c r="BU8" s="521">
        <v>281</v>
      </c>
      <c r="BV8" s="521">
        <v>330</v>
      </c>
      <c r="BW8" s="521">
        <v>319</v>
      </c>
      <c r="BX8" s="521">
        <v>315</v>
      </c>
      <c r="BY8" s="521">
        <v>311</v>
      </c>
      <c r="BZ8" s="521">
        <v>352</v>
      </c>
      <c r="CA8" s="521">
        <v>375</v>
      </c>
      <c r="CB8" s="521">
        <v>398.45590409728737</v>
      </c>
      <c r="CC8" s="521">
        <v>375.83890278289232</v>
      </c>
      <c r="CD8" s="521">
        <v>393.45079870879653</v>
      </c>
      <c r="CE8" s="521">
        <v>398.89711321708319</v>
      </c>
      <c r="CF8" s="521">
        <v>420.22788522094339</v>
      </c>
      <c r="CG8" s="521">
        <v>412.25928822398049</v>
      </c>
      <c r="CH8" s="521">
        <v>427.15191136161383</v>
      </c>
      <c r="CI8" s="521">
        <v>430.79264492681421</v>
      </c>
      <c r="CJ8" s="521">
        <v>458.49148471445312</v>
      </c>
      <c r="CK8" s="521">
        <v>453.39750591304693</v>
      </c>
      <c r="CL8" s="521">
        <v>466.66069730004949</v>
      </c>
      <c r="CM8" s="521">
        <v>470.28872704838341</v>
      </c>
      <c r="CN8" s="521">
        <v>491.94914882230648</v>
      </c>
      <c r="CO8" s="368"/>
      <c r="CP8" s="523">
        <f t="shared" si="0"/>
        <v>-250.7</v>
      </c>
      <c r="CQ8" s="523">
        <f t="shared" si="0"/>
        <v>-279.10000000000002</v>
      </c>
      <c r="CR8" s="523">
        <f t="shared" si="0"/>
        <v>-284.3</v>
      </c>
      <c r="CS8" s="523">
        <f t="shared" si="0"/>
        <v>-296.5</v>
      </c>
      <c r="CT8" s="523">
        <f t="shared" si="0"/>
        <v>-294.2</v>
      </c>
      <c r="CU8" s="523">
        <f t="shared" si="0"/>
        <v>-323.89999999999998</v>
      </c>
      <c r="CV8" s="523">
        <f t="shared" si="0"/>
        <v>-313.50261963529414</v>
      </c>
      <c r="CW8" s="523">
        <f t="shared" si="0"/>
        <v>-304.02568737811049</v>
      </c>
      <c r="CX8" s="523">
        <f t="shared" si="0"/>
        <v>-302.37208459905884</v>
      </c>
      <c r="CY8" s="523">
        <f t="shared" si="0"/>
        <v>-339.04754769241606</v>
      </c>
      <c r="CZ8" s="523">
        <f t="shared" si="1"/>
        <v>-364.34730536841175</v>
      </c>
      <c r="DA8" s="523">
        <f t="shared" si="1"/>
        <v>-383.5775447346042</v>
      </c>
      <c r="DB8" s="523">
        <f t="shared" si="1"/>
        <v>-363.04370448287466</v>
      </c>
      <c r="DC8" s="523">
        <f t="shared" si="1"/>
        <v>-377.82234137797917</v>
      </c>
      <c r="DD8" s="523">
        <f t="shared" si="1"/>
        <v>-384.89449847416716</v>
      </c>
      <c r="DE8" s="523">
        <f t="shared" si="1"/>
        <v>-403.25872894938908</v>
      </c>
      <c r="DF8" s="523">
        <f t="shared" si="1"/>
        <v>-397.54998638191864</v>
      </c>
      <c r="DG8" s="523">
        <f t="shared" si="1"/>
        <v>-409.32774091448181</v>
      </c>
      <c r="DH8" s="523">
        <f t="shared" si="1"/>
        <v>-415.34112493978932</v>
      </c>
      <c r="DI8" s="523">
        <f t="shared" si="1"/>
        <v>-439.76935269210446</v>
      </c>
      <c r="DJ8" s="523">
        <f t="shared" si="2"/>
        <v>-437.166454282225</v>
      </c>
      <c r="DK8" s="523">
        <f t="shared" si="2"/>
        <v>-446.99550303213766</v>
      </c>
      <c r="DL8" s="523">
        <f t="shared" si="2"/>
        <v>-453.23895852224115</v>
      </c>
      <c r="DM8" s="523">
        <f t="shared" si="2"/>
        <v>-471.29353052721984</v>
      </c>
    </row>
    <row r="9" spans="1:117" x14ac:dyDescent="0.25">
      <c r="C9" s="509" t="s">
        <v>84</v>
      </c>
      <c r="D9" s="360"/>
      <c r="E9" s="360">
        <f>HY!E123</f>
        <v>0</v>
      </c>
      <c r="F9" s="360">
        <f>HY!F123</f>
        <v>0</v>
      </c>
      <c r="G9" s="360">
        <f>HY!G123</f>
        <v>-0.4</v>
      </c>
      <c r="H9" s="360">
        <f>HY!H123</f>
        <v>0.60000000000000009</v>
      </c>
      <c r="I9" s="360">
        <f>HY!I123</f>
        <v>-19</v>
      </c>
      <c r="J9" s="360">
        <f>HY!J123</f>
        <v>-1.8000000000000007</v>
      </c>
      <c r="K9" s="360">
        <f>HY!K123</f>
        <v>-0.16466656799216595</v>
      </c>
      <c r="L9" s="360">
        <f>HY!L123</f>
        <v>5.335107330806653</v>
      </c>
      <c r="M9" s="360">
        <f>HY!M123</f>
        <v>2.9994905035600601</v>
      </c>
      <c r="N9" s="360">
        <f>HY!N123</f>
        <v>6.341888490824374</v>
      </c>
      <c r="O9" s="360">
        <f>HY!O123</f>
        <v>4.05107043888931</v>
      </c>
      <c r="P9" s="360">
        <f>HY!P123</f>
        <v>8.2930798044810281</v>
      </c>
      <c r="Q9" s="360">
        <f>HY!Q123</f>
        <v>6.2019331135619939</v>
      </c>
      <c r="R9" s="360">
        <f>HY!R123</f>
        <v>9.1020492715400856</v>
      </c>
      <c r="S9" s="360">
        <f>HY!S123</f>
        <v>7.5074574308451165</v>
      </c>
      <c r="T9" s="360">
        <f>HY!T123</f>
        <v>10.519857561971413</v>
      </c>
      <c r="U9" s="360">
        <f>HY!U123</f>
        <v>8.277669951821105</v>
      </c>
      <c r="V9" s="360">
        <f>HY!V123</f>
        <v>11.412004219079597</v>
      </c>
      <c r="W9" s="360">
        <f>HY!W123</f>
        <v>9.0496118466619198</v>
      </c>
      <c r="X9" s="360">
        <f>HY!X123</f>
        <v>12.328199179005379</v>
      </c>
      <c r="Y9" s="360">
        <f>HY!Y123</f>
        <v>9.8316766997634879</v>
      </c>
      <c r="Z9" s="360">
        <f>HY!Z123</f>
        <v>13.259049291121755</v>
      </c>
      <c r="AA9" s="360">
        <f>HY!AA123</f>
        <v>10.630872072804728</v>
      </c>
      <c r="AB9" s="360">
        <f>HY!AB123</f>
        <v>14.217180569362078</v>
      </c>
      <c r="AC9" s="515"/>
      <c r="AD9" s="361">
        <f>_xlfn.XLOOKUP(AD$2,$E$5:$AB$5,$E9:$AB9)</f>
        <v>-0.4</v>
      </c>
      <c r="AE9" s="515"/>
      <c r="AF9" s="362">
        <f>AE9/AD9-1</f>
        <v>-1</v>
      </c>
      <c r="AG9" s="361">
        <f>_xlfn.XLOOKUP(AG$2,$E$5:$AB$5,$E9:$AB9)</f>
        <v>-0.16466656799216595</v>
      </c>
      <c r="AH9" s="362">
        <f>$AE9/AG9-1</f>
        <v>-1</v>
      </c>
      <c r="AI9" s="361" t="e">
        <f>_xlfn.XLOOKUP(AI$2,$BQ$5:$CN$5,$BQ9:$CN9)</f>
        <v>#N/A</v>
      </c>
      <c r="AJ9" s="362" t="e">
        <f>$AE9/AI9-1</f>
        <v>#N/A</v>
      </c>
      <c r="AK9" s="363"/>
      <c r="AL9" s="364"/>
      <c r="AN9" s="365" t="s">
        <v>1292</v>
      </c>
      <c r="AO9" s="365" t="s">
        <v>1293</v>
      </c>
      <c r="AP9" s="366" t="s">
        <v>1231</v>
      </c>
      <c r="AQ9" s="366"/>
      <c r="AR9" s="367">
        <f>_xll.VAData($AN9,AR$5,$AO9,$AP9)</f>
        <v>235</v>
      </c>
      <c r="AS9" s="367">
        <f>_xll.VAData($AN9,AS$5,$AO9,$AP9)</f>
        <v>249</v>
      </c>
      <c r="AT9" s="367">
        <f>_xll.VAData($AN9,AT$5,$AO9,$AP9)</f>
        <v>252</v>
      </c>
      <c r="AU9" s="367">
        <f>_xll.VAData($AN9,AU$5,$AO9,$AP9)</f>
        <v>315</v>
      </c>
      <c r="AV9" s="367">
        <f>_xll.VAData($AN9,AV$5,$AO9,$AP9)</f>
        <v>271</v>
      </c>
      <c r="AW9" s="367">
        <f>_xll.VAData($AN9,AW$5,$AO9,$AP9)</f>
        <v>328.97249833085823</v>
      </c>
      <c r="AX9" s="367">
        <f>_xll.VAData($AN9,AX$5,$AO9,$AP9)</f>
        <v>321.09661630693921</v>
      </c>
      <c r="AY9" s="367">
        <f>_xll.VAData($AN9,AY$5,$AO9,$AP9)</f>
        <v>383.1939593766831</v>
      </c>
      <c r="AZ9" s="367">
        <f>_xll.VAData($AN9,AZ$5,$AO9,$AP9)</f>
        <v>371.05720901009715</v>
      </c>
      <c r="BA9" s="367">
        <f>_xll.VAData($AN9,BA$5,$AO9,$AP9)</f>
        <v>428.35878632457525</v>
      </c>
      <c r="BB9" s="367">
        <f>_xll.VAData($AN9,BB$5,$AO9,$AP9)</f>
        <v>413.80347767371495</v>
      </c>
      <c r="BC9" s="367">
        <f>_xll.VAData($AN9,BC$5,$AO9,$AP9)</f>
        <v>467.24683519762618</v>
      </c>
      <c r="BD9" s="367">
        <f>_xll.VAData($AN9,BD$5,$AO9,$AP9)</f>
        <v>456.96396047752245</v>
      </c>
      <c r="BE9" s="367">
        <f>_xll.VAData($AN9,BE$5,$AO9,$AP9)</f>
        <v>510.17027069732467</v>
      </c>
      <c r="BF9" s="367">
        <f>_xll.VAData($AN9,BF$5,$AO9,$AP9)</f>
        <v>500.49130771813037</v>
      </c>
      <c r="BG9" s="367">
        <f>_xll.VAData($AN9,BG$5,$AO9,$AP9)</f>
        <v>552.10562642439049</v>
      </c>
      <c r="BH9" s="367">
        <f>_xll.VAData($AN9,BH$5,$AO9,$AP9)</f>
        <v>543.79245808870405</v>
      </c>
      <c r="BI9" s="367">
        <f>_xll.VAData($AN9,BI$5,$AO9,$AP9)</f>
        <v>589.84514593012227</v>
      </c>
      <c r="BJ9" s="367">
        <f>_xll.VAData($AN9,BJ$5,$AO9,$AP9)</f>
        <v>561.95315098690537</v>
      </c>
      <c r="BK9" s="367">
        <f>_xll.VAData($AN9,BK$5,$AO9,$AP9)</f>
        <v>616.28990505262834</v>
      </c>
      <c r="BL9" s="367">
        <f>_xll.VAData($AN9,BL$5,$AO9,$AP9)</f>
        <v>599.06920751533016</v>
      </c>
      <c r="BM9" s="367">
        <f>_xll.VAData($AN9,BM$5,$AO9,$AP9)</f>
        <v>650.92752951879299</v>
      </c>
      <c r="BN9" s="367">
        <f>_xll.VAData($AN9,BN$5,$AO9,$AP9)</f>
        <v>634.26318204640495</v>
      </c>
      <c r="BO9" s="367">
        <f>_xll.VAData($AN9,BO$5,$AO9,$AP9)</f>
        <v>686.03926652110647</v>
      </c>
      <c r="BP9" s="368"/>
      <c r="BQ9" s="521">
        <v>86</v>
      </c>
      <c r="BR9" s="521">
        <v>93</v>
      </c>
      <c r="BS9" s="521">
        <v>99</v>
      </c>
      <c r="BT9" s="521">
        <v>109</v>
      </c>
      <c r="BU9" s="521">
        <v>105</v>
      </c>
      <c r="BV9" s="521">
        <v>130</v>
      </c>
      <c r="BW9" s="521">
        <v>122</v>
      </c>
      <c r="BX9" s="521">
        <v>127</v>
      </c>
      <c r="BY9" s="521">
        <v>117</v>
      </c>
      <c r="BZ9" s="521">
        <v>135</v>
      </c>
      <c r="CA9" s="521">
        <v>153</v>
      </c>
      <c r="CB9" s="521">
        <v>151.96382846563671</v>
      </c>
      <c r="CC9" s="521">
        <v>154.71253847165909</v>
      </c>
      <c r="CD9" s="521">
        <v>160.7772125503364</v>
      </c>
      <c r="CE9" s="521">
        <v>164.37328261868211</v>
      </c>
      <c r="CF9" s="521">
        <v>176.856267464056</v>
      </c>
      <c r="CG9" s="521">
        <v>173.5121321095971</v>
      </c>
      <c r="CH9" s="521">
        <v>182.93768141183301</v>
      </c>
      <c r="CI9" s="521">
        <v>185.36361813532011</v>
      </c>
      <c r="CJ9" s="521">
        <v>209.74325396804579</v>
      </c>
      <c r="CK9" s="521">
        <v>205.58915591031189</v>
      </c>
      <c r="CL9" s="521">
        <v>214.24140723784811</v>
      </c>
      <c r="CM9" s="521">
        <v>218.22522287656881</v>
      </c>
      <c r="CN9" s="521">
        <v>232.7040812278421</v>
      </c>
      <c r="CO9" s="368"/>
      <c r="CP9" s="523">
        <f t="shared" si="0"/>
        <v>-86</v>
      </c>
      <c r="CQ9" s="523">
        <f t="shared" si="0"/>
        <v>-93</v>
      </c>
      <c r="CR9" s="523">
        <f t="shared" si="0"/>
        <v>-99.4</v>
      </c>
      <c r="CS9" s="523">
        <f t="shared" si="0"/>
        <v>-108.4</v>
      </c>
      <c r="CT9" s="523">
        <f t="shared" si="0"/>
        <v>-124</v>
      </c>
      <c r="CU9" s="523">
        <f t="shared" si="0"/>
        <v>-131.80000000000001</v>
      </c>
      <c r="CV9" s="523">
        <f t="shared" si="0"/>
        <v>-122.16466656799217</v>
      </c>
      <c r="CW9" s="523">
        <f t="shared" si="0"/>
        <v>-121.66489266919335</v>
      </c>
      <c r="CX9" s="523">
        <f t="shared" si="0"/>
        <v>-114.00050949643995</v>
      </c>
      <c r="CY9" s="523">
        <f t="shared" si="0"/>
        <v>-128.65811150917563</v>
      </c>
      <c r="CZ9" s="523">
        <f t="shared" si="1"/>
        <v>-148.9489295611107</v>
      </c>
      <c r="DA9" s="523">
        <f t="shared" si="1"/>
        <v>-143.67074866115567</v>
      </c>
      <c r="DB9" s="523">
        <f t="shared" si="1"/>
        <v>-148.51060535809708</v>
      </c>
      <c r="DC9" s="523">
        <f t="shared" si="1"/>
        <v>-151.6751632787963</v>
      </c>
      <c r="DD9" s="523">
        <f t="shared" si="1"/>
        <v>-156.865825187837</v>
      </c>
      <c r="DE9" s="523">
        <f t="shared" si="1"/>
        <v>-166.3364099020846</v>
      </c>
      <c r="DF9" s="523">
        <f t="shared" si="1"/>
        <v>-165.23446215777599</v>
      </c>
      <c r="DG9" s="523">
        <f t="shared" si="1"/>
        <v>-171.52567719275342</v>
      </c>
      <c r="DH9" s="523">
        <f t="shared" si="1"/>
        <v>-176.31400628865819</v>
      </c>
      <c r="DI9" s="523">
        <f t="shared" si="1"/>
        <v>-197.41505478904043</v>
      </c>
      <c r="DJ9" s="523">
        <f t="shared" si="2"/>
        <v>-195.75747921054841</v>
      </c>
      <c r="DK9" s="523">
        <f t="shared" si="2"/>
        <v>-200.98235794672635</v>
      </c>
      <c r="DL9" s="523">
        <f t="shared" si="2"/>
        <v>-207.59435080376409</v>
      </c>
      <c r="DM9" s="523">
        <f t="shared" si="2"/>
        <v>-218.48690065848001</v>
      </c>
    </row>
    <row r="10" spans="1:117" x14ac:dyDescent="0.25">
      <c r="C10" s="512"/>
      <c r="D10" s="360"/>
      <c r="E10" s="360"/>
      <c r="F10" s="360"/>
      <c r="G10" s="360"/>
      <c r="H10" s="360"/>
      <c r="I10" s="360"/>
      <c r="J10" s="360"/>
      <c r="K10" s="360"/>
      <c r="L10" s="360"/>
      <c r="M10" s="360"/>
      <c r="N10" s="360"/>
      <c r="O10" s="360"/>
      <c r="P10" s="360"/>
      <c r="Q10" s="360"/>
      <c r="R10" s="360"/>
      <c r="S10" s="360"/>
      <c r="T10" s="360"/>
      <c r="U10" s="360"/>
      <c r="V10" s="360"/>
      <c r="W10" s="360"/>
      <c r="X10" s="360"/>
      <c r="Y10" s="360"/>
      <c r="Z10" s="360"/>
      <c r="AA10" s="360"/>
      <c r="AB10" s="360"/>
      <c r="AC10" s="360"/>
      <c r="AD10" s="514"/>
      <c r="AE10" s="513"/>
      <c r="AF10" s="362"/>
      <c r="AG10" s="514"/>
      <c r="AH10" s="362"/>
      <c r="AI10" s="514"/>
      <c r="AJ10" s="362"/>
      <c r="AK10" s="363"/>
      <c r="AL10" s="364"/>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69"/>
      <c r="DL10" s="369"/>
      <c r="DM10" s="369"/>
    </row>
    <row r="11" spans="1:117" x14ac:dyDescent="0.25">
      <c r="C11" s="508" t="s">
        <v>1294</v>
      </c>
      <c r="D11" s="360"/>
      <c r="E11" s="360"/>
      <c r="F11" s="360"/>
      <c r="G11" s="360"/>
      <c r="H11" s="360"/>
      <c r="I11" s="360"/>
      <c r="J11" s="360"/>
      <c r="K11" s="360"/>
      <c r="L11" s="360"/>
      <c r="M11" s="360"/>
      <c r="N11" s="360"/>
      <c r="O11" s="360"/>
      <c r="P11" s="360"/>
      <c r="Q11" s="360"/>
      <c r="R11" s="360"/>
      <c r="S11" s="360"/>
      <c r="T11" s="360"/>
      <c r="U11" s="360"/>
      <c r="V11" s="360"/>
      <c r="W11" s="360"/>
      <c r="X11" s="360"/>
      <c r="Y11" s="360"/>
      <c r="Z11" s="360"/>
      <c r="AA11" s="360"/>
      <c r="AB11" s="360"/>
      <c r="AC11" s="360"/>
      <c r="AD11" s="514"/>
      <c r="AE11" s="513"/>
      <c r="AF11" s="362"/>
      <c r="AG11" s="514"/>
      <c r="AH11" s="362"/>
      <c r="AI11" s="514"/>
      <c r="AJ11" s="362"/>
      <c r="AK11" s="363"/>
      <c r="AL11" s="364"/>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P11" s="369"/>
      <c r="CQ11" s="369"/>
      <c r="CR11" s="369"/>
      <c r="CS11" s="369"/>
      <c r="CT11" s="369"/>
      <c r="CU11" s="369"/>
      <c r="CV11" s="369"/>
      <c r="CW11" s="369"/>
      <c r="CX11" s="369"/>
      <c r="CY11" s="369"/>
      <c r="CZ11" s="369"/>
      <c r="DA11" s="369"/>
      <c r="DB11" s="369"/>
      <c r="DC11" s="369"/>
      <c r="DD11" s="369"/>
      <c r="DE11" s="369"/>
      <c r="DF11" s="369"/>
      <c r="DG11" s="369"/>
      <c r="DH11" s="369"/>
      <c r="DI11" s="369"/>
      <c r="DJ11" s="369"/>
      <c r="DK11" s="369"/>
      <c r="DL11" s="369"/>
      <c r="DM11" s="369"/>
    </row>
    <row r="12" spans="1:117" x14ac:dyDescent="0.25">
      <c r="C12" s="509" t="s">
        <v>35</v>
      </c>
      <c r="D12" s="360"/>
      <c r="E12" s="360">
        <f>HY!E64</f>
        <v>298.8</v>
      </c>
      <c r="F12" s="360">
        <f>HY!F64</f>
        <v>293.09999999999997</v>
      </c>
      <c r="G12" s="360">
        <f>HY!G64</f>
        <v>645.1</v>
      </c>
      <c r="H12" s="360">
        <f>HY!H64</f>
        <v>775.30000000000007</v>
      </c>
      <c r="I12" s="360">
        <f>HY!I64</f>
        <v>807.3</v>
      </c>
      <c r="J12" s="360">
        <f>HY!J64</f>
        <v>787.40000000000009</v>
      </c>
      <c r="K12" s="360">
        <f>HY!K64</f>
        <v>888.03</v>
      </c>
      <c r="L12" s="360">
        <f>HY!L64</f>
        <v>834.64400000000012</v>
      </c>
      <c r="M12" s="360">
        <f>HY!M64</f>
        <v>932.43150000000003</v>
      </c>
      <c r="N12" s="360">
        <f>HY!N64</f>
        <v>876.37620000000015</v>
      </c>
      <c r="O12" s="360">
        <f>HY!O64</f>
        <v>979.05307500000004</v>
      </c>
      <c r="P12" s="360">
        <f>HY!P64</f>
        <v>920.19501000000025</v>
      </c>
      <c r="Q12" s="360">
        <f>HY!Q64</f>
        <v>1028.0057287500001</v>
      </c>
      <c r="R12" s="360">
        <f>HY!R64</f>
        <v>966.20476050000036</v>
      </c>
      <c r="S12" s="360">
        <f>HY!S64</f>
        <v>1079.4060151875001</v>
      </c>
      <c r="T12" s="360">
        <f>HY!T64</f>
        <v>1014.5149985250005</v>
      </c>
      <c r="U12" s="360">
        <f>HY!U64</f>
        <v>1133.3763159468751</v>
      </c>
      <c r="V12" s="360">
        <f>HY!V64</f>
        <v>1065.2407484512505</v>
      </c>
      <c r="W12" s="360">
        <f>HY!W64</f>
        <v>1190.0451317442189</v>
      </c>
      <c r="X12" s="360">
        <f>HY!X64</f>
        <v>1118.5027858738131</v>
      </c>
      <c r="Y12" s="360">
        <f>HY!Y64</f>
        <v>1249.5473883314298</v>
      </c>
      <c r="Z12" s="360">
        <f>HY!Z64</f>
        <v>1174.4279251675039</v>
      </c>
      <c r="AA12" s="360">
        <f>HY!AA64</f>
        <v>1312.0247577480013</v>
      </c>
      <c r="AB12" s="360">
        <f>HY!AB64</f>
        <v>1233.1493214258792</v>
      </c>
      <c r="AC12" s="360"/>
      <c r="AD12" s="361">
        <f>_xlfn.SINGLE(_xlfn.XLOOKUP(AD$2,$E$5:$AB$5,$E12:$AB12))</f>
        <v>645.1</v>
      </c>
      <c r="AE12" s="515"/>
      <c r="AF12" s="362">
        <f>AE12/AD12-1</f>
        <v>-1</v>
      </c>
      <c r="AG12" s="361">
        <f t="shared" ref="AG12:AG13" si="3">_xlfn.XLOOKUP(AG$2,$E$5:$AB$5,$E12:$AB12)</f>
        <v>888.03</v>
      </c>
      <c r="AH12" s="362">
        <f t="shared" ref="AH12:AH13" si="4">$AE12/AG12-1</f>
        <v>-1</v>
      </c>
      <c r="AI12" s="361"/>
      <c r="AJ12" s="362"/>
      <c r="AK12" s="363"/>
      <c r="AL12" s="364"/>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69"/>
      <c r="DL12" s="369"/>
      <c r="DM12" s="369"/>
    </row>
    <row r="13" spans="1:117" x14ac:dyDescent="0.25">
      <c r="C13" s="509" t="s">
        <v>42</v>
      </c>
      <c r="D13" s="360"/>
      <c r="E13" s="360">
        <f>HY!E68</f>
        <v>40</v>
      </c>
      <c r="F13" s="360">
        <f>HY!F68</f>
        <v>39.5</v>
      </c>
      <c r="G13" s="360">
        <f>HY!G68</f>
        <v>91.3</v>
      </c>
      <c r="H13" s="360">
        <f>HY!H68</f>
        <v>104.89999999999999</v>
      </c>
      <c r="I13" s="360">
        <f>HY!I68</f>
        <v>108.3</v>
      </c>
      <c r="J13" s="360">
        <f>HY!J68</f>
        <v>107.39999999999999</v>
      </c>
      <c r="K13" s="360">
        <f>HY!K68</f>
        <v>126.10025999999999</v>
      </c>
      <c r="L13" s="360">
        <f>HY!L68</f>
        <v>116.85016000000003</v>
      </c>
      <c r="M13" s="360">
        <f>HY!M68</f>
        <v>132.40527299999999</v>
      </c>
      <c r="N13" s="360">
        <f>HY!N68</f>
        <v>122.69266800000004</v>
      </c>
      <c r="O13" s="360">
        <f>HY!O68</f>
        <v>139.02553664999999</v>
      </c>
      <c r="P13" s="360">
        <f>HY!P68</f>
        <v>128.82730140000004</v>
      </c>
      <c r="Q13" s="360">
        <f>HY!Q68</f>
        <v>145.97681348250001</v>
      </c>
      <c r="R13" s="360">
        <f>HY!R68</f>
        <v>135.26866647000006</v>
      </c>
      <c r="S13" s="360">
        <f>HY!S68</f>
        <v>153.275654156625</v>
      </c>
      <c r="T13" s="360">
        <f>HY!T68</f>
        <v>142.03209979350007</v>
      </c>
      <c r="U13" s="360">
        <f>HY!U68</f>
        <v>160.93943686445627</v>
      </c>
      <c r="V13" s="360">
        <f>HY!V68</f>
        <v>149.13370478317509</v>
      </c>
      <c r="W13" s="360">
        <f>HY!W68</f>
        <v>168.98640870767906</v>
      </c>
      <c r="X13" s="360">
        <f>HY!X68</f>
        <v>156.59039002233385</v>
      </c>
      <c r="Y13" s="360">
        <f>HY!Y68</f>
        <v>177.43572914306301</v>
      </c>
      <c r="Z13" s="360">
        <f>HY!Z68</f>
        <v>164.41990952345057</v>
      </c>
      <c r="AA13" s="360">
        <f>HY!AA68</f>
        <v>186.30751560021616</v>
      </c>
      <c r="AB13" s="360">
        <f>HY!AB68</f>
        <v>172.6409049996231</v>
      </c>
      <c r="AC13" s="360"/>
      <c r="AD13" s="361">
        <f>_xlfn.SINGLE(_xlfn.XLOOKUP(AD$2,$E$5:$AB$5,$E13:$AB13))</f>
        <v>91.3</v>
      </c>
      <c r="AE13" s="515"/>
      <c r="AF13" s="362">
        <f>AE13/AD13-1</f>
        <v>-1</v>
      </c>
      <c r="AG13" s="361">
        <f t="shared" si="3"/>
        <v>126.10025999999999</v>
      </c>
      <c r="AH13" s="362">
        <f t="shared" si="4"/>
        <v>-1</v>
      </c>
      <c r="AI13" s="361"/>
      <c r="AJ13" s="362"/>
      <c r="AK13" s="363"/>
      <c r="AL13" s="364"/>
      <c r="BQ13" s="369"/>
      <c r="BR13" s="369"/>
      <c r="BS13" s="369"/>
      <c r="BT13" s="369"/>
      <c r="BU13" s="369"/>
      <c r="BV13" s="369"/>
      <c r="BW13" s="369"/>
      <c r="BX13" s="369"/>
      <c r="BY13" s="369"/>
      <c r="BZ13" s="369"/>
      <c r="CA13" s="369"/>
      <c r="CB13" s="369"/>
      <c r="CC13" s="369"/>
      <c r="CD13" s="369"/>
      <c r="CE13" s="369"/>
      <c r="CF13" s="369"/>
      <c r="CG13" s="369"/>
      <c r="CH13" s="369"/>
      <c r="CI13" s="369"/>
      <c r="CJ13" s="369"/>
      <c r="CK13" s="369"/>
      <c r="CL13" s="369"/>
      <c r="CM13" s="369"/>
      <c r="CN13" s="369"/>
      <c r="CP13" s="369"/>
      <c r="CQ13" s="369"/>
      <c r="CR13" s="369"/>
      <c r="CS13" s="369"/>
      <c r="CT13" s="369"/>
      <c r="CU13" s="369"/>
      <c r="CV13" s="369"/>
      <c r="CW13" s="369"/>
      <c r="CX13" s="369"/>
      <c r="CY13" s="369"/>
      <c r="CZ13" s="369"/>
      <c r="DA13" s="369"/>
      <c r="DB13" s="369"/>
      <c r="DC13" s="369"/>
      <c r="DD13" s="369"/>
      <c r="DE13" s="369"/>
      <c r="DF13" s="369"/>
      <c r="DG13" s="369"/>
      <c r="DH13" s="369"/>
      <c r="DI13" s="369"/>
      <c r="DJ13" s="369"/>
      <c r="DK13" s="369"/>
      <c r="DL13" s="369"/>
      <c r="DM13" s="369"/>
    </row>
    <row r="14" spans="1:117" x14ac:dyDescent="0.25">
      <c r="C14" s="510" t="s">
        <v>1295</v>
      </c>
      <c r="E14" s="517">
        <f t="shared" ref="E14:AB14" si="5">E13/E12</f>
        <v>0.13386880856760375</v>
      </c>
      <c r="F14" s="517">
        <f t="shared" si="5"/>
        <v>0.13476629136813376</v>
      </c>
      <c r="G14" s="517">
        <f t="shared" si="5"/>
        <v>0.14152844520229421</v>
      </c>
      <c r="H14" s="517">
        <f t="shared" si="5"/>
        <v>0.13530246356249193</v>
      </c>
      <c r="I14" s="517">
        <f t="shared" si="5"/>
        <v>0.13415087328130806</v>
      </c>
      <c r="J14" s="517">
        <f t="shared" si="5"/>
        <v>0.13639827279654557</v>
      </c>
      <c r="K14" s="517">
        <f t="shared" si="5"/>
        <v>0.14199999999999999</v>
      </c>
      <c r="L14" s="517">
        <f t="shared" si="5"/>
        <v>0.14000000000000001</v>
      </c>
      <c r="M14" s="517">
        <f t="shared" si="5"/>
        <v>0.14199999999999999</v>
      </c>
      <c r="N14" s="517">
        <f t="shared" si="5"/>
        <v>0.14000000000000001</v>
      </c>
      <c r="O14" s="517">
        <f t="shared" si="5"/>
        <v>0.14199999999999999</v>
      </c>
      <c r="P14" s="517">
        <f t="shared" si="5"/>
        <v>0.14000000000000001</v>
      </c>
      <c r="Q14" s="517">
        <f t="shared" si="5"/>
        <v>0.14199999999999999</v>
      </c>
      <c r="R14" s="517">
        <f t="shared" si="5"/>
        <v>0.14000000000000001</v>
      </c>
      <c r="S14" s="517">
        <f t="shared" si="5"/>
        <v>0.14199999999999999</v>
      </c>
      <c r="T14" s="517">
        <f t="shared" si="5"/>
        <v>0.14000000000000001</v>
      </c>
      <c r="U14" s="517">
        <f t="shared" si="5"/>
        <v>0.14199999999999999</v>
      </c>
      <c r="V14" s="517">
        <f t="shared" si="5"/>
        <v>0.14000000000000001</v>
      </c>
      <c r="W14" s="517">
        <f t="shared" si="5"/>
        <v>0.14199999999999999</v>
      </c>
      <c r="X14" s="517">
        <f t="shared" si="5"/>
        <v>0.14000000000000001</v>
      </c>
      <c r="Y14" s="517">
        <f t="shared" si="5"/>
        <v>0.14199999999999999</v>
      </c>
      <c r="Z14" s="517">
        <f t="shared" si="5"/>
        <v>0.14000000000000001</v>
      </c>
      <c r="AA14" s="517">
        <f t="shared" si="5"/>
        <v>0.14199999999999999</v>
      </c>
      <c r="AB14" s="517">
        <f t="shared" si="5"/>
        <v>0.14000000000000001</v>
      </c>
      <c r="AD14" s="519">
        <f>_xlfn.XLOOKUP(AD$2,$E$5:$AB$5,$E14:$AB14)</f>
        <v>0.14152844520229421</v>
      </c>
      <c r="AE14" s="517"/>
      <c r="AF14" s="518">
        <f>(AE14-AD14)*100</f>
        <v>-14.15284452022942</v>
      </c>
      <c r="AG14" s="519">
        <f>_xlfn.XLOOKUP(AG$2,$E$5:$AB$5,$E14:$AB14)</f>
        <v>0.14199999999999999</v>
      </c>
      <c r="AH14" s="518">
        <f>($AE14-AG14)*100</f>
        <v>-14.2</v>
      </c>
      <c r="AI14" s="519" t="e">
        <f>_xlfn.XLOOKUP(AI$2,$BQ$5:$CN$5,$BQ14:$CN14)</f>
        <v>#N/A</v>
      </c>
      <c r="AJ14" s="518" t="e">
        <f>($AE14-AI14)*100</f>
        <v>#N/A</v>
      </c>
      <c r="AR14" s="520" t="e">
        <f t="shared" ref="AR14:BO14" si="6">AR8/AR3</f>
        <v>#DIV/0!</v>
      </c>
      <c r="AS14" s="520" t="e">
        <f t="shared" si="6"/>
        <v>#DIV/0!</v>
      </c>
      <c r="AT14" s="520" t="e">
        <f t="shared" si="6"/>
        <v>#DIV/0!</v>
      </c>
      <c r="AU14" s="520" t="e">
        <f t="shared" si="6"/>
        <v>#DIV/0!</v>
      </c>
      <c r="AV14" s="520" t="e">
        <f t="shared" si="6"/>
        <v>#DIV/0!</v>
      </c>
      <c r="AW14" s="520" t="e">
        <f t="shared" si="6"/>
        <v>#DIV/0!</v>
      </c>
      <c r="AX14" s="520" t="e">
        <f t="shared" si="6"/>
        <v>#DIV/0!</v>
      </c>
      <c r="AY14" s="520" t="e">
        <f t="shared" si="6"/>
        <v>#DIV/0!</v>
      </c>
      <c r="AZ14" s="520" t="e">
        <f t="shared" si="6"/>
        <v>#DIV/0!</v>
      </c>
      <c r="BA14" s="520" t="e">
        <f t="shared" si="6"/>
        <v>#DIV/0!</v>
      </c>
      <c r="BB14" s="520" t="e">
        <f t="shared" si="6"/>
        <v>#DIV/0!</v>
      </c>
      <c r="BC14" s="520" t="e">
        <f t="shared" si="6"/>
        <v>#DIV/0!</v>
      </c>
      <c r="BD14" s="520" t="e">
        <f t="shared" si="6"/>
        <v>#DIV/0!</v>
      </c>
      <c r="BE14" s="520" t="e">
        <f t="shared" si="6"/>
        <v>#DIV/0!</v>
      </c>
      <c r="BF14" s="520" t="e">
        <f t="shared" si="6"/>
        <v>#DIV/0!</v>
      </c>
      <c r="BG14" s="520" t="e">
        <f t="shared" si="6"/>
        <v>#DIV/0!</v>
      </c>
      <c r="BH14" s="520" t="e">
        <f t="shared" si="6"/>
        <v>#DIV/0!</v>
      </c>
      <c r="BI14" s="520" t="e">
        <f t="shared" si="6"/>
        <v>#DIV/0!</v>
      </c>
      <c r="BJ14" s="520" t="e">
        <f t="shared" si="6"/>
        <v>#DIV/0!</v>
      </c>
      <c r="BK14" s="520" t="e">
        <f t="shared" si="6"/>
        <v>#DIV/0!</v>
      </c>
      <c r="BL14" s="520" t="e">
        <f t="shared" si="6"/>
        <v>#DIV/0!</v>
      </c>
      <c r="BM14" s="520" t="e">
        <f t="shared" si="6"/>
        <v>#DIV/0!</v>
      </c>
      <c r="BN14" s="520" t="e">
        <f t="shared" si="6"/>
        <v>#DIV/0!</v>
      </c>
      <c r="BO14" s="520" t="e">
        <f t="shared" si="6"/>
        <v>#DIV/0!</v>
      </c>
      <c r="BQ14" s="522">
        <v>0.49164677804295942</v>
      </c>
      <c r="BR14" s="522">
        <v>0.49469214437367298</v>
      </c>
      <c r="BS14" s="522">
        <v>0.5053763440860215</v>
      </c>
      <c r="BT14" s="522">
        <v>0.49395161290322581</v>
      </c>
      <c r="BU14" s="522">
        <v>0.48739495798319332</v>
      </c>
      <c r="BV14" s="522">
        <v>0.50463821892393323</v>
      </c>
      <c r="BW14" s="522">
        <v>0.4972067039106145</v>
      </c>
      <c r="BX14" s="522">
        <v>0.49902912621359219</v>
      </c>
      <c r="BY14" s="522">
        <v>0.5131313131313131</v>
      </c>
      <c r="BZ14" s="522">
        <v>0.53030303030303028</v>
      </c>
      <c r="CA14" s="522">
        <v>0.54659498207885304</v>
      </c>
      <c r="CB14" s="522">
        <v>0.52422510464474525</v>
      </c>
      <c r="CC14" s="522">
        <v>0.53169413856485426</v>
      </c>
      <c r="CD14" s="522">
        <v>0.5341045393823064</v>
      </c>
      <c r="CE14" s="522">
        <v>0.5340721895151368</v>
      </c>
      <c r="CF14" s="522">
        <v>0.53167570451480317</v>
      </c>
      <c r="CG14" s="522">
        <v>0.53400952714035277</v>
      </c>
      <c r="CH14" s="522">
        <v>0.5383552165875547</v>
      </c>
      <c r="CI14" s="522">
        <v>0.53872768262828874</v>
      </c>
      <c r="CJ14" s="522">
        <v>0.53741362528986236</v>
      </c>
      <c r="CK14" s="522">
        <v>0.53880647882126786</v>
      </c>
      <c r="CL14" s="522">
        <v>0.54285599654503736</v>
      </c>
      <c r="CM14" s="522">
        <v>0.54355124575402769</v>
      </c>
      <c r="CN14" s="522">
        <v>0.54088253710133283</v>
      </c>
      <c r="CP14" s="524">
        <f t="shared" ref="CP14:DM14" si="7">E14-BQ14</f>
        <v>-0.35777796947535567</v>
      </c>
      <c r="CQ14" s="524">
        <f t="shared" si="7"/>
        <v>-0.35992585300553925</v>
      </c>
      <c r="CR14" s="524">
        <f t="shared" si="7"/>
        <v>-0.36384789888372726</v>
      </c>
      <c r="CS14" s="524">
        <f t="shared" si="7"/>
        <v>-0.35864914934073389</v>
      </c>
      <c r="CT14" s="524">
        <f t="shared" si="7"/>
        <v>-0.35324408470188529</v>
      </c>
      <c r="CU14" s="524">
        <f t="shared" si="7"/>
        <v>-0.36823994612738764</v>
      </c>
      <c r="CV14" s="524">
        <f t="shared" si="7"/>
        <v>-0.35520670391061449</v>
      </c>
      <c r="CW14" s="524">
        <f t="shared" si="7"/>
        <v>-0.35902912621359218</v>
      </c>
      <c r="CX14" s="524">
        <f t="shared" si="7"/>
        <v>-0.37113131313131309</v>
      </c>
      <c r="CY14" s="524">
        <f t="shared" si="7"/>
        <v>-0.39030303030303026</v>
      </c>
      <c r="CZ14" s="524">
        <f t="shared" si="7"/>
        <v>-0.40459498207885303</v>
      </c>
      <c r="DA14" s="524">
        <f t="shared" si="7"/>
        <v>-0.38422510464474524</v>
      </c>
      <c r="DB14" s="524">
        <f t="shared" si="7"/>
        <v>-0.38969413856485424</v>
      </c>
      <c r="DC14" s="524">
        <f t="shared" si="7"/>
        <v>-0.39410453938230638</v>
      </c>
      <c r="DD14" s="524">
        <f t="shared" si="7"/>
        <v>-0.39207218951513678</v>
      </c>
      <c r="DE14" s="524">
        <f t="shared" si="7"/>
        <v>-0.39167570451480316</v>
      </c>
      <c r="DF14" s="524">
        <f t="shared" si="7"/>
        <v>-0.39200952714035275</v>
      </c>
      <c r="DG14" s="524">
        <f t="shared" si="7"/>
        <v>-0.39835521658755468</v>
      </c>
      <c r="DH14" s="524">
        <f t="shared" si="7"/>
        <v>-0.39672768262828872</v>
      </c>
      <c r="DI14" s="524">
        <f t="shared" si="7"/>
        <v>-0.39741362528986235</v>
      </c>
      <c r="DJ14" s="524">
        <f t="shared" si="7"/>
        <v>-0.39680647882126785</v>
      </c>
      <c r="DK14" s="524">
        <f t="shared" si="7"/>
        <v>-0.40285599654503734</v>
      </c>
      <c r="DL14" s="524">
        <f t="shared" si="7"/>
        <v>-0.40155124575402767</v>
      </c>
      <c r="DM14" s="524">
        <f t="shared" si="7"/>
        <v>-0.40088253710133281</v>
      </c>
    </row>
    <row r="15" spans="1:117" x14ac:dyDescent="0.25">
      <c r="C15" s="509" t="s">
        <v>43</v>
      </c>
      <c r="D15" s="360"/>
      <c r="E15" s="360">
        <f>HY!E75</f>
        <v>30.7</v>
      </c>
      <c r="F15" s="360">
        <f>HY!F75</f>
        <v>32.299999999999997</v>
      </c>
      <c r="G15" s="360">
        <f>HY!G75</f>
        <v>67.400000000000006</v>
      </c>
      <c r="H15" s="360">
        <f>HY!H75</f>
        <v>80.400000000000006</v>
      </c>
      <c r="I15" s="360">
        <f>HY!I75</f>
        <v>75.8</v>
      </c>
      <c r="J15" s="360">
        <f>HY!J75</f>
        <v>82.3</v>
      </c>
      <c r="K15" s="360">
        <f>HY!K75</f>
        <v>92.355119999999999</v>
      </c>
      <c r="L15" s="360">
        <f>HY!L75</f>
        <v>90.97619600000003</v>
      </c>
      <c r="M15" s="360">
        <f>HY!M75</f>
        <v>96.972875999999985</v>
      </c>
      <c r="N15" s="360">
        <f>HY!N75</f>
        <v>95.525005800000031</v>
      </c>
      <c r="O15" s="360">
        <f>HY!O75</f>
        <v>101.82151979999999</v>
      </c>
      <c r="P15" s="360">
        <f>HY!P75</f>
        <v>100.30125609000004</v>
      </c>
      <c r="Q15" s="360">
        <f>HY!Q75</f>
        <v>106.91259579000001</v>
      </c>
      <c r="R15" s="360">
        <f>HY!R75</f>
        <v>105.31631889450004</v>
      </c>
      <c r="S15" s="360">
        <f>HY!S75</f>
        <v>112.25822557949999</v>
      </c>
      <c r="T15" s="360">
        <f>HY!T75</f>
        <v>110.58213483922505</v>
      </c>
      <c r="U15" s="360">
        <f>HY!U75</f>
        <v>117.87113685847501</v>
      </c>
      <c r="V15" s="360">
        <f>HY!V75</f>
        <v>116.11124158118633</v>
      </c>
      <c r="W15" s="360">
        <f>HY!W75</f>
        <v>123.76469370139874</v>
      </c>
      <c r="X15" s="360">
        <f>HY!X75</f>
        <v>121.91680366024565</v>
      </c>
      <c r="Y15" s="360">
        <f>HY!Y75</f>
        <v>129.95292838646867</v>
      </c>
      <c r="Z15" s="360">
        <f>HY!Z75</f>
        <v>128.01264384325793</v>
      </c>
      <c r="AA15" s="360">
        <f>HY!AA75</f>
        <v>136.45057480579212</v>
      </c>
      <c r="AB15" s="360">
        <f>HY!AB75</f>
        <v>134.41327603542084</v>
      </c>
      <c r="AC15" s="360"/>
      <c r="AD15" s="361">
        <f>_xlfn.SINGLE(_xlfn.XLOOKUP(AD$2,$E$5:$AB$5,$E15:$AB15))</f>
        <v>67.400000000000006</v>
      </c>
      <c r="AE15" s="515"/>
      <c r="AF15" s="362">
        <f>AE15/AD15-1</f>
        <v>-1</v>
      </c>
      <c r="AG15" s="361">
        <f>_xlfn.XLOOKUP(AG$2,$E$5:$AB$5,$E15:$AB15)</f>
        <v>92.355119999999999</v>
      </c>
      <c r="AH15" s="362">
        <f>$AE15/AG15-1</f>
        <v>-1</v>
      </c>
      <c r="AI15" s="361"/>
      <c r="AJ15" s="362"/>
      <c r="AK15" s="363"/>
      <c r="AL15" s="364"/>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P15" s="369"/>
      <c r="CQ15" s="369"/>
      <c r="CR15" s="369"/>
      <c r="CS15" s="369"/>
      <c r="CT15" s="369"/>
      <c r="CU15" s="369"/>
      <c r="CV15" s="369"/>
      <c r="CW15" s="369"/>
      <c r="CX15" s="369"/>
      <c r="CY15" s="369"/>
      <c r="CZ15" s="369"/>
      <c r="DA15" s="369"/>
      <c r="DB15" s="369"/>
      <c r="DC15" s="369"/>
      <c r="DD15" s="369"/>
      <c r="DE15" s="369"/>
      <c r="DF15" s="369"/>
      <c r="DG15" s="369"/>
      <c r="DH15" s="369"/>
      <c r="DI15" s="369"/>
      <c r="DJ15" s="369"/>
      <c r="DK15" s="369"/>
      <c r="DL15" s="369"/>
      <c r="DM15" s="369"/>
    </row>
    <row r="16" spans="1:117" x14ac:dyDescent="0.25">
      <c r="C16" s="510" t="s">
        <v>1296</v>
      </c>
      <c r="E16" s="517">
        <f t="shared" ref="E16:AB16" si="8">E15/E12</f>
        <v>0.10274431057563586</v>
      </c>
      <c r="F16" s="517">
        <f t="shared" si="8"/>
        <v>0.11020129648584101</v>
      </c>
      <c r="G16" s="517">
        <f t="shared" si="8"/>
        <v>0.10447992559293133</v>
      </c>
      <c r="H16" s="517">
        <f t="shared" si="8"/>
        <v>0.10370179285437894</v>
      </c>
      <c r="I16" s="517">
        <f t="shared" si="8"/>
        <v>9.3893224328006938E-2</v>
      </c>
      <c r="J16" s="517">
        <f t="shared" si="8"/>
        <v>0.10452120904241807</v>
      </c>
      <c r="K16" s="517">
        <f t="shared" si="8"/>
        <v>0.10400000000000001</v>
      </c>
      <c r="L16" s="517">
        <f t="shared" si="8"/>
        <v>0.10900000000000001</v>
      </c>
      <c r="M16" s="517">
        <f t="shared" si="8"/>
        <v>0.10399999999999998</v>
      </c>
      <c r="N16" s="517">
        <f t="shared" si="8"/>
        <v>0.10900000000000001</v>
      </c>
      <c r="O16" s="517">
        <f t="shared" si="8"/>
        <v>0.10399999999999998</v>
      </c>
      <c r="P16" s="517">
        <f t="shared" si="8"/>
        <v>0.10900000000000001</v>
      </c>
      <c r="Q16" s="517">
        <f t="shared" si="8"/>
        <v>0.104</v>
      </c>
      <c r="R16" s="517">
        <f t="shared" si="8"/>
        <v>0.109</v>
      </c>
      <c r="S16" s="517">
        <f t="shared" si="8"/>
        <v>0.10399999999999998</v>
      </c>
      <c r="T16" s="517">
        <f t="shared" si="8"/>
        <v>0.109</v>
      </c>
      <c r="U16" s="517">
        <f t="shared" si="8"/>
        <v>0.104</v>
      </c>
      <c r="V16" s="517">
        <f t="shared" si="8"/>
        <v>0.10900000000000003</v>
      </c>
      <c r="W16" s="517">
        <f t="shared" si="8"/>
        <v>0.10399999999999998</v>
      </c>
      <c r="X16" s="517">
        <f t="shared" si="8"/>
        <v>0.10900000000000001</v>
      </c>
      <c r="Y16" s="517">
        <f t="shared" si="8"/>
        <v>0.10399999999999998</v>
      </c>
      <c r="Z16" s="517">
        <f t="shared" si="8"/>
        <v>0.10900000000000001</v>
      </c>
      <c r="AA16" s="517">
        <f t="shared" si="8"/>
        <v>0.10399999999999998</v>
      </c>
      <c r="AB16" s="517">
        <f t="shared" si="8"/>
        <v>0.109</v>
      </c>
      <c r="AD16" s="519">
        <f>_xlfn.XLOOKUP(AD$2,$E$5:$AB$5,$E16:$AB16)</f>
        <v>0.10447992559293133</v>
      </c>
      <c r="AE16" s="517"/>
      <c r="AF16" s="518">
        <f>(AE16-AD16)*100</f>
        <v>-10.447992559293134</v>
      </c>
      <c r="AG16" s="519">
        <f>_xlfn.XLOOKUP(AG$2,$E$5:$AB$5,$E16:$AB16)</f>
        <v>0.10400000000000001</v>
      </c>
      <c r="AH16" s="518">
        <f>($AE16-AG16)*100</f>
        <v>-10.4</v>
      </c>
      <c r="AI16" s="519" t="e">
        <f>_xlfn.XLOOKUP(AI$2,$BQ$5:$CN$5,$BQ16:$CN16)</f>
        <v>#N/A</v>
      </c>
      <c r="AJ16" s="518" t="e">
        <f>($AE16-AI16)*100</f>
        <v>#N/A</v>
      </c>
      <c r="AR16" s="520" t="e">
        <f t="shared" ref="AR16:BO16" si="9">AR10/AR5</f>
        <v>#VALUE!</v>
      </c>
      <c r="AS16" s="520" t="e">
        <f t="shared" si="9"/>
        <v>#VALUE!</v>
      </c>
      <c r="AT16" s="520" t="e">
        <f t="shared" si="9"/>
        <v>#VALUE!</v>
      </c>
      <c r="AU16" s="520" t="e">
        <f t="shared" si="9"/>
        <v>#VALUE!</v>
      </c>
      <c r="AV16" s="520" t="e">
        <f t="shared" si="9"/>
        <v>#VALUE!</v>
      </c>
      <c r="AW16" s="520" t="e">
        <f t="shared" si="9"/>
        <v>#VALUE!</v>
      </c>
      <c r="AX16" s="520" t="e">
        <f t="shared" si="9"/>
        <v>#VALUE!</v>
      </c>
      <c r="AY16" s="520" t="e">
        <f t="shared" si="9"/>
        <v>#VALUE!</v>
      </c>
      <c r="AZ16" s="520" t="e">
        <f t="shared" si="9"/>
        <v>#VALUE!</v>
      </c>
      <c r="BA16" s="520" t="e">
        <f t="shared" si="9"/>
        <v>#VALUE!</v>
      </c>
      <c r="BB16" s="520" t="e">
        <f t="shared" si="9"/>
        <v>#VALUE!</v>
      </c>
      <c r="BC16" s="520" t="e">
        <f t="shared" si="9"/>
        <v>#VALUE!</v>
      </c>
      <c r="BD16" s="520" t="e">
        <f t="shared" si="9"/>
        <v>#VALUE!</v>
      </c>
      <c r="BE16" s="520" t="e">
        <f t="shared" si="9"/>
        <v>#VALUE!</v>
      </c>
      <c r="BF16" s="520" t="e">
        <f t="shared" si="9"/>
        <v>#VALUE!</v>
      </c>
      <c r="BG16" s="520" t="e">
        <f t="shared" si="9"/>
        <v>#VALUE!</v>
      </c>
      <c r="BH16" s="520" t="e">
        <f t="shared" si="9"/>
        <v>#VALUE!</v>
      </c>
      <c r="BI16" s="520" t="e">
        <f t="shared" si="9"/>
        <v>#VALUE!</v>
      </c>
      <c r="BJ16" s="520" t="e">
        <f t="shared" si="9"/>
        <v>#VALUE!</v>
      </c>
      <c r="BK16" s="520" t="e">
        <f t="shared" si="9"/>
        <v>#VALUE!</v>
      </c>
      <c r="BL16" s="520" t="e">
        <f t="shared" si="9"/>
        <v>#VALUE!</v>
      </c>
      <c r="BM16" s="520" t="e">
        <f t="shared" si="9"/>
        <v>#VALUE!</v>
      </c>
      <c r="BN16" s="520" t="e">
        <f t="shared" si="9"/>
        <v>#VALUE!</v>
      </c>
      <c r="BO16" s="520" t="e">
        <f t="shared" si="9"/>
        <v>#VALUE!</v>
      </c>
      <c r="BQ16" s="522">
        <v>0.49164677804295942</v>
      </c>
      <c r="BR16" s="522">
        <v>0.49469214437367298</v>
      </c>
      <c r="BS16" s="522">
        <v>0.5053763440860215</v>
      </c>
      <c r="BT16" s="522">
        <v>0.49395161290322581</v>
      </c>
      <c r="BU16" s="522">
        <v>0.48739495798319332</v>
      </c>
      <c r="BV16" s="522">
        <v>0.50463821892393323</v>
      </c>
      <c r="BW16" s="522">
        <v>0.4972067039106145</v>
      </c>
      <c r="BX16" s="522">
        <v>0.49902912621359219</v>
      </c>
      <c r="BY16" s="522">
        <v>0.5131313131313131</v>
      </c>
      <c r="BZ16" s="522">
        <v>0.53030303030303028</v>
      </c>
      <c r="CA16" s="522">
        <v>0.54659498207885304</v>
      </c>
      <c r="CB16" s="522">
        <v>0.52422510464474525</v>
      </c>
      <c r="CC16" s="522">
        <v>0.53169413856485426</v>
      </c>
      <c r="CD16" s="522">
        <v>0.5341045393823064</v>
      </c>
      <c r="CE16" s="522">
        <v>0.5340721895151368</v>
      </c>
      <c r="CF16" s="522">
        <v>0.53167570451480317</v>
      </c>
      <c r="CG16" s="522">
        <v>0.53400952714035277</v>
      </c>
      <c r="CH16" s="522">
        <v>0.5383552165875547</v>
      </c>
      <c r="CI16" s="522">
        <v>0.53872768262828874</v>
      </c>
      <c r="CJ16" s="522">
        <v>0.53741362528986236</v>
      </c>
      <c r="CK16" s="522">
        <v>0.53880647882126786</v>
      </c>
      <c r="CL16" s="522">
        <v>0.54285599654503736</v>
      </c>
      <c r="CM16" s="522">
        <v>0.54355124575402769</v>
      </c>
      <c r="CN16" s="522">
        <v>0.54088253710133283</v>
      </c>
      <c r="CP16" s="524">
        <f t="shared" ref="CP16:DM16" si="10">E16-BQ16</f>
        <v>-0.38890246746732354</v>
      </c>
      <c r="CQ16" s="524">
        <f t="shared" si="10"/>
        <v>-0.38449084788783194</v>
      </c>
      <c r="CR16" s="524">
        <f t="shared" si="10"/>
        <v>-0.40089641849309016</v>
      </c>
      <c r="CS16" s="524">
        <f t="shared" si="10"/>
        <v>-0.3902498200488469</v>
      </c>
      <c r="CT16" s="524">
        <f t="shared" si="10"/>
        <v>-0.39350173365518637</v>
      </c>
      <c r="CU16" s="524">
        <f t="shared" si="10"/>
        <v>-0.40011700988151516</v>
      </c>
      <c r="CV16" s="524">
        <f t="shared" si="10"/>
        <v>-0.39320670391061452</v>
      </c>
      <c r="CW16" s="524">
        <f t="shared" si="10"/>
        <v>-0.3900291262135922</v>
      </c>
      <c r="CX16" s="524">
        <f t="shared" si="10"/>
        <v>-0.40913131313131312</v>
      </c>
      <c r="CY16" s="524">
        <f t="shared" si="10"/>
        <v>-0.42130303030303029</v>
      </c>
      <c r="CZ16" s="524">
        <f t="shared" si="10"/>
        <v>-0.44259498207885306</v>
      </c>
      <c r="DA16" s="524">
        <f t="shared" si="10"/>
        <v>-0.41522510464474527</v>
      </c>
      <c r="DB16" s="524">
        <f t="shared" si="10"/>
        <v>-0.42769413856485428</v>
      </c>
      <c r="DC16" s="524">
        <f t="shared" si="10"/>
        <v>-0.42510453938230641</v>
      </c>
      <c r="DD16" s="524">
        <f t="shared" si="10"/>
        <v>-0.43007218951513682</v>
      </c>
      <c r="DE16" s="524">
        <f t="shared" si="10"/>
        <v>-0.42267570451480319</v>
      </c>
      <c r="DF16" s="524">
        <f t="shared" si="10"/>
        <v>-0.43000952714035279</v>
      </c>
      <c r="DG16" s="524">
        <f t="shared" si="10"/>
        <v>-0.42935521658755466</v>
      </c>
      <c r="DH16" s="524">
        <f t="shared" si="10"/>
        <v>-0.43472768262828876</v>
      </c>
      <c r="DI16" s="524">
        <f t="shared" si="10"/>
        <v>-0.42841362528986238</v>
      </c>
      <c r="DJ16" s="524">
        <f t="shared" si="10"/>
        <v>-0.43480647882126788</v>
      </c>
      <c r="DK16" s="524">
        <f t="shared" si="10"/>
        <v>-0.43385599654503737</v>
      </c>
      <c r="DL16" s="524">
        <f t="shared" si="10"/>
        <v>-0.43955124575402771</v>
      </c>
      <c r="DM16" s="524">
        <f t="shared" si="10"/>
        <v>-0.43188253710133284</v>
      </c>
    </row>
    <row r="17" spans="1:117" x14ac:dyDescent="0.25">
      <c r="C17" s="512"/>
      <c r="D17" s="360"/>
      <c r="E17" s="360"/>
      <c r="F17" s="360"/>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514"/>
      <c r="AE17" s="513"/>
      <c r="AF17" s="362"/>
      <c r="AG17" s="514"/>
      <c r="AH17" s="362"/>
      <c r="AI17" s="514"/>
      <c r="AJ17" s="362"/>
      <c r="AK17" s="363"/>
      <c r="AL17" s="364"/>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P17" s="369"/>
      <c r="CQ17" s="369"/>
      <c r="CR17" s="369"/>
      <c r="CS17" s="369"/>
      <c r="CT17" s="369"/>
      <c r="CU17" s="369"/>
      <c r="CV17" s="369"/>
      <c r="CW17" s="369"/>
      <c r="CX17" s="369"/>
      <c r="CY17" s="369"/>
      <c r="CZ17" s="369"/>
      <c r="DA17" s="369"/>
      <c r="DB17" s="369"/>
      <c r="DC17" s="369"/>
      <c r="DD17" s="369"/>
      <c r="DE17" s="369"/>
      <c r="DF17" s="369"/>
      <c r="DG17" s="369"/>
      <c r="DH17" s="369"/>
      <c r="DI17" s="369"/>
      <c r="DJ17" s="369"/>
      <c r="DK17" s="369"/>
      <c r="DL17" s="369"/>
      <c r="DM17" s="369"/>
    </row>
    <row r="18" spans="1:117" x14ac:dyDescent="0.25">
      <c r="C18" s="512"/>
      <c r="D18" s="360"/>
      <c r="E18" s="360"/>
      <c r="F18" s="360"/>
      <c r="G18" s="360"/>
      <c r="H18" s="360"/>
      <c r="I18" s="360"/>
      <c r="J18" s="360"/>
      <c r="K18" s="360"/>
      <c r="L18" s="360"/>
      <c r="M18" s="360"/>
      <c r="N18" s="360"/>
      <c r="O18" s="360"/>
      <c r="P18" s="360"/>
      <c r="Q18" s="360"/>
      <c r="R18" s="360"/>
      <c r="S18" s="360"/>
      <c r="T18" s="360"/>
      <c r="U18" s="360"/>
      <c r="V18" s="360"/>
      <c r="W18" s="360"/>
      <c r="X18" s="360"/>
      <c r="Y18" s="360"/>
      <c r="Z18" s="360"/>
      <c r="AA18" s="360"/>
      <c r="AB18" s="360"/>
      <c r="AC18" s="360"/>
      <c r="AD18" s="514"/>
      <c r="AE18" s="513"/>
      <c r="AF18" s="362"/>
      <c r="AG18" s="514"/>
      <c r="AH18" s="362"/>
      <c r="AI18" s="514"/>
      <c r="AJ18" s="362"/>
      <c r="AK18" s="363"/>
      <c r="AL18" s="364"/>
      <c r="BQ18" s="369"/>
      <c r="BR18" s="369"/>
      <c r="BS18" s="369"/>
      <c r="BT18" s="369"/>
      <c r="BU18" s="369"/>
      <c r="BV18" s="369"/>
      <c r="BW18" s="369"/>
      <c r="BX18" s="369"/>
      <c r="BY18" s="369"/>
      <c r="BZ18" s="369"/>
      <c r="CA18" s="369"/>
      <c r="CB18" s="369"/>
      <c r="CC18" s="369"/>
      <c r="CD18" s="369"/>
      <c r="CE18" s="369"/>
      <c r="CF18" s="369"/>
      <c r="CG18" s="369"/>
      <c r="CH18" s="369"/>
      <c r="CI18" s="369"/>
      <c r="CJ18" s="369"/>
      <c r="CK18" s="369"/>
      <c r="CL18" s="369"/>
      <c r="CM18" s="369"/>
      <c r="CN18" s="369"/>
      <c r="CP18" s="369"/>
      <c r="CQ18" s="369"/>
      <c r="CR18" s="369"/>
      <c r="CS18" s="369"/>
      <c r="CT18" s="369"/>
      <c r="CU18" s="369"/>
      <c r="CV18" s="369"/>
      <c r="CW18" s="369"/>
      <c r="CX18" s="369"/>
      <c r="CY18" s="369"/>
      <c r="CZ18" s="369"/>
      <c r="DA18" s="369"/>
      <c r="DB18" s="369"/>
      <c r="DC18" s="369"/>
      <c r="DD18" s="369"/>
      <c r="DE18" s="369"/>
      <c r="DF18" s="369"/>
      <c r="DG18" s="369"/>
      <c r="DH18" s="369"/>
      <c r="DI18" s="369"/>
      <c r="DJ18" s="369"/>
      <c r="DK18" s="369"/>
      <c r="DL18" s="369"/>
      <c r="DM18" s="369"/>
    </row>
    <row r="19" spans="1:117" x14ac:dyDescent="0.25">
      <c r="C19" s="512"/>
      <c r="D19" s="360"/>
      <c r="E19" s="360"/>
      <c r="F19" s="360"/>
      <c r="G19" s="360"/>
      <c r="H19" s="360"/>
      <c r="I19" s="360"/>
      <c r="J19" s="360"/>
      <c r="K19" s="360"/>
      <c r="L19" s="360"/>
      <c r="M19" s="360"/>
      <c r="N19" s="360"/>
      <c r="O19" s="360"/>
      <c r="P19" s="360"/>
      <c r="Q19" s="360"/>
      <c r="R19" s="360"/>
      <c r="S19" s="360"/>
      <c r="T19" s="360"/>
      <c r="U19" s="360"/>
      <c r="V19" s="360"/>
      <c r="W19" s="360"/>
      <c r="X19" s="360"/>
      <c r="Y19" s="360"/>
      <c r="Z19" s="360"/>
      <c r="AA19" s="360"/>
      <c r="AB19" s="360"/>
      <c r="AC19" s="360"/>
      <c r="AD19" s="514"/>
      <c r="AE19" s="513"/>
      <c r="AF19" s="362"/>
      <c r="AG19" s="514"/>
      <c r="AH19" s="362"/>
      <c r="AI19" s="514"/>
      <c r="AJ19" s="362"/>
      <c r="AK19" s="363"/>
      <c r="AL19" s="364"/>
      <c r="BQ19" s="369"/>
      <c r="BR19" s="369"/>
      <c r="BS19" s="369"/>
      <c r="BT19" s="369"/>
      <c r="BU19" s="369"/>
      <c r="BV19" s="369"/>
      <c r="BW19" s="369"/>
      <c r="BX19" s="369"/>
      <c r="BY19" s="369"/>
      <c r="BZ19" s="369"/>
      <c r="CA19" s="369"/>
      <c r="CB19" s="369"/>
      <c r="CC19" s="369"/>
      <c r="CD19" s="369"/>
      <c r="CE19" s="369"/>
      <c r="CF19" s="369"/>
      <c r="CG19" s="369"/>
      <c r="CH19" s="369"/>
      <c r="CI19" s="369"/>
      <c r="CJ19" s="369"/>
      <c r="CK19" s="369"/>
      <c r="CL19" s="369"/>
      <c r="CM19" s="369"/>
      <c r="CN19" s="369"/>
      <c r="CP19" s="369"/>
      <c r="CQ19" s="369"/>
      <c r="CR19" s="369"/>
      <c r="CS19" s="369"/>
      <c r="CT19" s="369"/>
      <c r="CU19" s="369"/>
      <c r="CV19" s="369"/>
      <c r="CW19" s="369"/>
      <c r="CX19" s="369"/>
      <c r="CY19" s="369"/>
      <c r="CZ19" s="369"/>
      <c r="DA19" s="369"/>
      <c r="DB19" s="369"/>
      <c r="DC19" s="369"/>
      <c r="DD19" s="369"/>
      <c r="DE19" s="369"/>
      <c r="DF19" s="369"/>
      <c r="DG19" s="369"/>
      <c r="DH19" s="369"/>
      <c r="DI19" s="369"/>
      <c r="DJ19" s="369"/>
      <c r="DK19" s="369"/>
      <c r="DL19" s="369"/>
      <c r="DM19" s="369"/>
    </row>
    <row r="20" spans="1:117" ht="30" customHeight="1" x14ac:dyDescent="0.25">
      <c r="A20" s="345"/>
      <c r="C20" s="348"/>
      <c r="D20" s="349"/>
      <c r="E20" s="349" t="str">
        <f t="shared" ref="E20:AB20" si="11">E$5</f>
        <v>1H24A</v>
      </c>
      <c r="F20" s="349" t="str">
        <f t="shared" si="11"/>
        <v>2H24A</v>
      </c>
      <c r="G20" s="349" t="str">
        <f t="shared" si="11"/>
        <v>1H25A</v>
      </c>
      <c r="H20" s="349" t="str">
        <f t="shared" si="11"/>
        <v>2H25A</v>
      </c>
      <c r="I20" s="349" t="str">
        <f t="shared" si="11"/>
        <v>1H26A</v>
      </c>
      <c r="J20" s="349" t="str">
        <f t="shared" si="11"/>
        <v>2H26A</v>
      </c>
      <c r="K20" s="349" t="str">
        <f t="shared" si="11"/>
        <v>1H27E</v>
      </c>
      <c r="L20" s="349" t="str">
        <f t="shared" si="11"/>
        <v>2H27E</v>
      </c>
      <c r="M20" s="349" t="str">
        <f t="shared" si="11"/>
        <v>1H28E</v>
      </c>
      <c r="N20" s="349" t="str">
        <f t="shared" si="11"/>
        <v>2H28E</v>
      </c>
      <c r="O20" s="349" t="str">
        <f t="shared" si="11"/>
        <v>1H29E</v>
      </c>
      <c r="P20" s="349" t="str">
        <f t="shared" si="11"/>
        <v>2H29E</v>
      </c>
      <c r="Q20" s="349" t="str">
        <f t="shared" si="11"/>
        <v>1H30E</v>
      </c>
      <c r="R20" s="349" t="str">
        <f t="shared" si="11"/>
        <v>2H30E</v>
      </c>
      <c r="S20" s="349" t="str">
        <f t="shared" si="11"/>
        <v>1H31E</v>
      </c>
      <c r="T20" s="349" t="str">
        <f t="shared" si="11"/>
        <v>2H31E</v>
      </c>
      <c r="U20" s="349" t="str">
        <f t="shared" si="11"/>
        <v>1H32E</v>
      </c>
      <c r="V20" s="349" t="str">
        <f t="shared" si="11"/>
        <v>2H32E</v>
      </c>
      <c r="W20" s="349" t="str">
        <f t="shared" si="11"/>
        <v>1H33E</v>
      </c>
      <c r="X20" s="349" t="str">
        <f t="shared" si="11"/>
        <v>2H33E</v>
      </c>
      <c r="Y20" s="349" t="str">
        <f t="shared" si="11"/>
        <v>1H34E</v>
      </c>
      <c r="Z20" s="349" t="str">
        <f t="shared" si="11"/>
        <v>2H34E</v>
      </c>
      <c r="AA20" s="349" t="str">
        <f t="shared" si="11"/>
        <v>1H35E</v>
      </c>
      <c r="AB20" s="349" t="str">
        <f t="shared" si="11"/>
        <v>2H35E</v>
      </c>
      <c r="AC20" s="349"/>
      <c r="AD20" s="350" t="str">
        <f>AD$2</f>
        <v>1H25A</v>
      </c>
      <c r="AE20" s="348" t="str">
        <f>AE$2</f>
        <v>1H26A</v>
      </c>
      <c r="AF20" s="351" t="s">
        <v>1265</v>
      </c>
      <c r="AG20" s="352" t="str">
        <f>"E&amp;Pe "&amp;AG$2</f>
        <v>E&amp;Pe 1H27E</v>
      </c>
      <c r="AH20" s="351" t="s">
        <v>1266</v>
      </c>
      <c r="AI20" s="350" t="str">
        <f>"VA Cons.  "&amp;AG$2</f>
        <v>VA Cons.  1H27E</v>
      </c>
      <c r="AJ20" s="353" t="s">
        <v>1266</v>
      </c>
      <c r="AK20" s="354"/>
      <c r="AN20" s="356"/>
      <c r="AO20" s="356"/>
      <c r="AP20" s="356"/>
      <c r="AQ20" s="356"/>
      <c r="AR20" s="355" t="s">
        <v>1267</v>
      </c>
      <c r="AS20" s="355" t="s">
        <v>1268</v>
      </c>
      <c r="AT20" s="355" t="s">
        <v>1269</v>
      </c>
      <c r="AU20" s="355" t="s">
        <v>1270</v>
      </c>
      <c r="AV20" s="355" t="s">
        <v>1262</v>
      </c>
      <c r="AW20" s="355" t="s">
        <v>1</v>
      </c>
      <c r="AX20" s="355" t="s">
        <v>1271</v>
      </c>
      <c r="AY20" s="355" t="s">
        <v>1272</v>
      </c>
      <c r="AZ20" s="355" t="s">
        <v>1273</v>
      </c>
      <c r="BA20" s="355" t="s">
        <v>1274</v>
      </c>
      <c r="BB20" s="355" t="s">
        <v>1275</v>
      </c>
      <c r="BC20" s="355" t="s">
        <v>1276</v>
      </c>
      <c r="BD20" s="355" t="s">
        <v>1277</v>
      </c>
      <c r="BE20" s="355" t="s">
        <v>1278</v>
      </c>
      <c r="BF20" s="355" t="s">
        <v>1279</v>
      </c>
      <c r="BG20" s="355" t="s">
        <v>1280</v>
      </c>
      <c r="BH20" s="355" t="s">
        <v>1281</v>
      </c>
      <c r="BI20" s="355" t="s">
        <v>1282</v>
      </c>
      <c r="BJ20" s="355" t="s">
        <v>1283</v>
      </c>
      <c r="BK20" s="355" t="s">
        <v>1284</v>
      </c>
      <c r="BL20" s="355" t="s">
        <v>1285</v>
      </c>
      <c r="BM20" s="355" t="s">
        <v>1286</v>
      </c>
      <c r="BN20" s="355" t="s">
        <v>1287</v>
      </c>
      <c r="BO20" s="355" t="s">
        <v>1288</v>
      </c>
      <c r="BQ20" s="355" t="s">
        <v>1267</v>
      </c>
      <c r="BR20" s="355" t="s">
        <v>1268</v>
      </c>
      <c r="BS20" s="355" t="s">
        <v>1269</v>
      </c>
      <c r="BT20" s="355" t="s">
        <v>1270</v>
      </c>
      <c r="BU20" s="355" t="s">
        <v>1262</v>
      </c>
      <c r="BV20" s="355" t="s">
        <v>1</v>
      </c>
      <c r="BW20" s="355" t="s">
        <v>1271</v>
      </c>
      <c r="BX20" s="355" t="s">
        <v>1272</v>
      </c>
      <c r="BY20" s="355" t="s">
        <v>1273</v>
      </c>
      <c r="BZ20" s="355" t="s">
        <v>1274</v>
      </c>
      <c r="CA20" s="355" t="s">
        <v>1275</v>
      </c>
      <c r="CB20" s="355" t="s">
        <v>1276</v>
      </c>
      <c r="CC20" s="355" t="s">
        <v>1277</v>
      </c>
      <c r="CD20" s="355" t="s">
        <v>1278</v>
      </c>
      <c r="CE20" s="355" t="s">
        <v>1279</v>
      </c>
      <c r="CF20" s="355" t="s">
        <v>1280</v>
      </c>
      <c r="CG20" s="355" t="s">
        <v>1281</v>
      </c>
      <c r="CH20" s="355" t="s">
        <v>1282</v>
      </c>
      <c r="CI20" s="355" t="s">
        <v>1283</v>
      </c>
      <c r="CJ20" s="355" t="s">
        <v>1284</v>
      </c>
      <c r="CK20" s="355" t="s">
        <v>1285</v>
      </c>
      <c r="CL20" s="355" t="s">
        <v>1286</v>
      </c>
      <c r="CM20" s="355" t="s">
        <v>1287</v>
      </c>
      <c r="CN20" s="355" t="s">
        <v>1288</v>
      </c>
      <c r="CP20" s="355" t="s">
        <v>1267</v>
      </c>
      <c r="CQ20" s="355" t="s">
        <v>1268</v>
      </c>
      <c r="CR20" s="355" t="s">
        <v>1269</v>
      </c>
      <c r="CS20" s="355" t="s">
        <v>1270</v>
      </c>
      <c r="CT20" s="355" t="s">
        <v>1262</v>
      </c>
      <c r="CU20" s="355" t="s">
        <v>1</v>
      </c>
      <c r="CV20" s="355" t="s">
        <v>1271</v>
      </c>
      <c r="CW20" s="355" t="s">
        <v>1272</v>
      </c>
      <c r="CX20" s="355" t="s">
        <v>1273</v>
      </c>
      <c r="CY20" s="355" t="s">
        <v>1274</v>
      </c>
      <c r="CZ20" s="355" t="s">
        <v>1275</v>
      </c>
      <c r="DA20" s="355" t="s">
        <v>1276</v>
      </c>
      <c r="DB20" s="355" t="s">
        <v>1277</v>
      </c>
      <c r="DC20" s="355" t="s">
        <v>1278</v>
      </c>
      <c r="DD20" s="355" t="s">
        <v>1279</v>
      </c>
      <c r="DE20" s="355" t="s">
        <v>1280</v>
      </c>
      <c r="DF20" s="355" t="s">
        <v>1281</v>
      </c>
      <c r="DG20" s="355" t="s">
        <v>1282</v>
      </c>
      <c r="DH20" s="355" t="s">
        <v>1283</v>
      </c>
      <c r="DI20" s="355" t="s">
        <v>1284</v>
      </c>
      <c r="DJ20" s="355" t="s">
        <v>1285</v>
      </c>
      <c r="DK20" s="355" t="s">
        <v>1286</v>
      </c>
      <c r="DL20" s="355" t="s">
        <v>1287</v>
      </c>
      <c r="DM20" s="355" t="s">
        <v>1288</v>
      </c>
    </row>
    <row r="21" spans="1:117" x14ac:dyDescent="0.25">
      <c r="C21" s="508" t="s">
        <v>1297</v>
      </c>
      <c r="D21" s="360"/>
      <c r="E21" s="360"/>
      <c r="F21" s="360"/>
      <c r="G21" s="360"/>
      <c r="H21" s="360"/>
      <c r="I21" s="360"/>
      <c r="J21" s="360"/>
      <c r="K21" s="360"/>
      <c r="L21" s="360"/>
      <c r="M21" s="360"/>
      <c r="N21" s="360"/>
      <c r="O21" s="360"/>
      <c r="P21" s="360"/>
      <c r="Q21" s="360"/>
      <c r="R21" s="360"/>
      <c r="S21" s="360"/>
      <c r="T21" s="360"/>
      <c r="U21" s="360"/>
      <c r="V21" s="360"/>
      <c r="W21" s="360"/>
      <c r="X21" s="360"/>
      <c r="Y21" s="360"/>
      <c r="Z21" s="360"/>
      <c r="AA21" s="360"/>
      <c r="AB21" s="360"/>
      <c r="AC21" s="360"/>
      <c r="AD21" s="514"/>
      <c r="AE21" s="513"/>
      <c r="AF21" s="362"/>
      <c r="AG21" s="514"/>
      <c r="AH21" s="362"/>
      <c r="AI21" s="514"/>
      <c r="AJ21" s="362"/>
      <c r="AK21" s="363"/>
      <c r="AL21" s="364"/>
      <c r="BQ21" s="369"/>
      <c r="BR21" s="369"/>
      <c r="BS21" s="369"/>
      <c r="BT21" s="369"/>
      <c r="BU21" s="369"/>
      <c r="BV21" s="369"/>
      <c r="BW21" s="369"/>
      <c r="BX21" s="369"/>
      <c r="BY21" s="369"/>
      <c r="BZ21" s="369"/>
      <c r="CA21" s="369"/>
      <c r="CB21" s="369"/>
      <c r="CC21" s="369"/>
      <c r="CD21" s="369"/>
      <c r="CE21" s="369"/>
      <c r="CF21" s="369"/>
      <c r="CG21" s="369"/>
      <c r="CH21" s="369"/>
      <c r="CI21" s="369"/>
      <c r="CJ21" s="369"/>
      <c r="CK21" s="369"/>
      <c r="CL21" s="369"/>
      <c r="CM21" s="369"/>
      <c r="CN21" s="369"/>
      <c r="CP21" s="369"/>
      <c r="CQ21" s="369"/>
      <c r="CR21" s="369"/>
      <c r="CS21" s="369"/>
      <c r="CT21" s="369"/>
      <c r="CU21" s="369"/>
      <c r="CV21" s="369"/>
      <c r="CW21" s="369"/>
      <c r="CX21" s="369"/>
      <c r="CY21" s="369"/>
      <c r="CZ21" s="369"/>
      <c r="DA21" s="369"/>
      <c r="DB21" s="369"/>
      <c r="DC21" s="369"/>
      <c r="DD21" s="369"/>
      <c r="DE21" s="369"/>
      <c r="DF21" s="369"/>
      <c r="DG21" s="369"/>
      <c r="DH21" s="369"/>
      <c r="DI21" s="369"/>
      <c r="DJ21" s="369"/>
      <c r="DK21" s="369"/>
      <c r="DL21" s="369"/>
      <c r="DM21" s="369"/>
    </row>
    <row r="22" spans="1:117" x14ac:dyDescent="0.25">
      <c r="C22" s="509" t="s">
        <v>71</v>
      </c>
      <c r="D22" s="360"/>
      <c r="E22" s="360">
        <f>HY!E203</f>
        <v>-12.8</v>
      </c>
      <c r="F22" s="360">
        <f>HY!F203</f>
        <v>-14</v>
      </c>
      <c r="G22" s="360">
        <f>HY!G203</f>
        <v>-33.700000000000003</v>
      </c>
      <c r="H22" s="360">
        <f>HY!H203</f>
        <v>-39.700000000000003</v>
      </c>
      <c r="I22" s="360">
        <f>HY!I203</f>
        <v>-43</v>
      </c>
      <c r="J22" s="360">
        <f>HY!J203</f>
        <v>-41.900000000000006</v>
      </c>
      <c r="K22" s="360">
        <f>HY!K203</f>
        <v>-49.291071400000007</v>
      </c>
      <c r="L22" s="360">
        <f>HY!L203</f>
        <v>-46.555655920000014</v>
      </c>
      <c r="M22" s="360">
        <f>HY!M203</f>
        <v>-50.725895519999995</v>
      </c>
      <c r="N22" s="360">
        <f>HY!N203</f>
        <v>-48.658438716000013</v>
      </c>
      <c r="O22" s="360">
        <f>HY!O203</f>
        <v>-53.256190296</v>
      </c>
      <c r="P22" s="360">
        <f>HY!P203</f>
        <v>-51.085360651800016</v>
      </c>
      <c r="Q22" s="360">
        <f>HY!Q203</f>
        <v>-55.912819810800002</v>
      </c>
      <c r="R22" s="360">
        <f>HY!R203</f>
        <v>-53.633448684390018</v>
      </c>
      <c r="S22" s="360">
        <f>HY!S203</f>
        <v>-58.702095401340003</v>
      </c>
      <c r="T22" s="360">
        <f>HY!T203</f>
        <v>-56.308755718609525</v>
      </c>
      <c r="U22" s="360">
        <f>HY!U203</f>
        <v>-61.630643809407012</v>
      </c>
      <c r="V22" s="360">
        <f>HY!V203</f>
        <v>-59.117637142540012</v>
      </c>
      <c r="W22" s="360">
        <f>HY!W203</f>
        <v>-64.705422947017354</v>
      </c>
      <c r="X22" s="360">
        <f>HY!X203</f>
        <v>-62.066765946807017</v>
      </c>
      <c r="Y22" s="360">
        <f>HY!Y203</f>
        <v>-67.93373844992243</v>
      </c>
      <c r="Z22" s="360">
        <f>HY!Z203</f>
        <v>-65.163148599701572</v>
      </c>
      <c r="AA22" s="360">
        <f>HY!AA203</f>
        <v>-71.32326105863936</v>
      </c>
      <c r="AB22" s="360">
        <f>HY!AB203</f>
        <v>-68.414141715907476</v>
      </c>
      <c r="AC22" s="360"/>
      <c r="AD22" s="361">
        <f>_xlfn.XLOOKUP(AD$2,$E$5:$AB$5,$E22:$AB22)</f>
        <v>-33.700000000000003</v>
      </c>
      <c r="AE22" s="515"/>
      <c r="AF22" s="362">
        <f>AE22/AD22-1</f>
        <v>-1</v>
      </c>
      <c r="AG22" s="361">
        <f>_xlfn.XLOOKUP(AG$2,$E$5:$AB$5,$E22:$AB22)</f>
        <v>-49.291071400000007</v>
      </c>
      <c r="AH22" s="362">
        <f>$AE22/AG22-1</f>
        <v>-1</v>
      </c>
      <c r="AI22" s="361" t="e">
        <f>_xlfn.XLOOKUP(AI$2,$BQ$5:$CN$5,$BQ22:$CN22)</f>
        <v>#N/A</v>
      </c>
      <c r="AJ22" s="362" t="e">
        <f>$AE22/AI22-1</f>
        <v>#N/A</v>
      </c>
      <c r="AK22" s="363"/>
      <c r="AL22" s="364"/>
      <c r="BQ22" s="369"/>
      <c r="BR22" s="369"/>
      <c r="BS22" s="369"/>
      <c r="BT22" s="369"/>
      <c r="BU22" s="369"/>
      <c r="BV22" s="369"/>
      <c r="BW22" s="369"/>
      <c r="BX22" s="369"/>
      <c r="BY22" s="369"/>
      <c r="BZ22" s="369"/>
      <c r="CA22" s="369"/>
      <c r="CB22" s="369"/>
      <c r="CC22" s="369"/>
      <c r="CD22" s="369"/>
      <c r="CE22" s="369"/>
      <c r="CF22" s="369"/>
      <c r="CG22" s="369"/>
      <c r="CH22" s="369"/>
      <c r="CI22" s="369"/>
      <c r="CJ22" s="369"/>
      <c r="CK22" s="369"/>
      <c r="CL22" s="369"/>
      <c r="CM22" s="369"/>
      <c r="CN22" s="369"/>
      <c r="CP22" s="369"/>
      <c r="CQ22" s="369"/>
      <c r="CR22" s="369"/>
      <c r="CS22" s="369"/>
      <c r="CT22" s="369"/>
      <c r="CU22" s="369"/>
      <c r="CV22" s="369"/>
      <c r="CW22" s="369"/>
      <c r="CX22" s="369"/>
      <c r="CY22" s="369"/>
      <c r="CZ22" s="369"/>
      <c r="DA22" s="369"/>
      <c r="DB22" s="369"/>
      <c r="DC22" s="369"/>
      <c r="DD22" s="369"/>
      <c r="DE22" s="369"/>
      <c r="DF22" s="369"/>
      <c r="DG22" s="369"/>
      <c r="DH22" s="369"/>
      <c r="DI22" s="369"/>
      <c r="DJ22" s="369"/>
      <c r="DK22" s="369"/>
      <c r="DL22" s="369"/>
      <c r="DM22" s="369"/>
    </row>
    <row r="23" spans="1:117" x14ac:dyDescent="0.25">
      <c r="C23" s="509" t="s">
        <v>121</v>
      </c>
      <c r="D23" s="360"/>
      <c r="E23" s="360">
        <f>HY!E217</f>
        <v>-6.7</v>
      </c>
      <c r="F23" s="360">
        <f>HY!F217</f>
        <v>-3.8</v>
      </c>
      <c r="G23" s="360">
        <f>HY!G217</f>
        <v>-9.9</v>
      </c>
      <c r="H23" s="360">
        <f>HY!H217</f>
        <v>-9.6</v>
      </c>
      <c r="I23" s="360">
        <f>HY!I217</f>
        <v>-17.100000000000001</v>
      </c>
      <c r="J23" s="360">
        <f>HY!J217</f>
        <v>-11.099999999999998</v>
      </c>
      <c r="K23" s="360">
        <f>HY!K217</f>
        <v>-12</v>
      </c>
      <c r="L23" s="360">
        <f>HY!L217</f>
        <v>-9.5</v>
      </c>
      <c r="M23" s="360">
        <f>HY!M217</f>
        <v>-11.5</v>
      </c>
      <c r="N23" s="360">
        <f>HY!N217</f>
        <v>-10</v>
      </c>
      <c r="O23" s="360">
        <f>HY!O217</f>
        <v>-11.709474776999999</v>
      </c>
      <c r="P23" s="360">
        <f>HY!P217</f>
        <v>-10.030125609000004</v>
      </c>
      <c r="Q23" s="360">
        <f>HY!Q217</f>
        <v>-12.294948515850002</v>
      </c>
      <c r="R23" s="360">
        <f>HY!R217</f>
        <v>-10.531631889450004</v>
      </c>
      <c r="S23" s="360">
        <f>HY!S217</f>
        <v>-12.9096959416425</v>
      </c>
      <c r="T23" s="360">
        <f>HY!T217</f>
        <v>-11.058213483922506</v>
      </c>
      <c r="U23" s="360">
        <f>HY!U217</f>
        <v>-13.555180738724626</v>
      </c>
      <c r="V23" s="360">
        <f>HY!V217</f>
        <v>-11.611124158118635</v>
      </c>
      <c r="W23" s="360">
        <f>HY!W217</f>
        <v>-14.232939775660856</v>
      </c>
      <c r="X23" s="360">
        <f>HY!X217</f>
        <v>-12.191680366024565</v>
      </c>
      <c r="Y23" s="360">
        <f>HY!Y217</f>
        <v>-14.944586764443898</v>
      </c>
      <c r="Z23" s="360">
        <f>HY!Z217</f>
        <v>-12.801264384325794</v>
      </c>
      <c r="AA23" s="360">
        <f>HY!AA217</f>
        <v>-15.691816102666094</v>
      </c>
      <c r="AB23" s="360">
        <f>HY!AB217</f>
        <v>-13.441327603542085</v>
      </c>
      <c r="AC23" s="360"/>
      <c r="AD23" s="361">
        <f>_xlfn.XLOOKUP(AD$2,$E$5:$AB$5,$E23:$AB23)</f>
        <v>-9.9</v>
      </c>
      <c r="AE23" s="515"/>
      <c r="AF23" s="362">
        <f>AE23/AD23-1</f>
        <v>-1</v>
      </c>
      <c r="AG23" s="361">
        <f>_xlfn.XLOOKUP(AG$2,$E$5:$AB$5,$E23:$AB23)</f>
        <v>-12</v>
      </c>
      <c r="AH23" s="362">
        <f>$AE23/AG23-1</f>
        <v>-1</v>
      </c>
      <c r="AI23" s="361" t="e">
        <f>_xlfn.XLOOKUP(AI$2,$BQ$5:$CN$5,$BQ23:$CN23)</f>
        <v>#N/A</v>
      </c>
      <c r="AJ23" s="362" t="e">
        <f>$AE23/AI23-1</f>
        <v>#N/A</v>
      </c>
      <c r="AK23" s="363"/>
      <c r="AL23" s="364"/>
      <c r="BQ23" s="369"/>
      <c r="BR23" s="369"/>
      <c r="BS23" s="369"/>
      <c r="BT23" s="369"/>
      <c r="BU23" s="369"/>
      <c r="BV23" s="369"/>
      <c r="BW23" s="369"/>
      <c r="BX23" s="369"/>
      <c r="BY23" s="369"/>
      <c r="BZ23" s="369"/>
      <c r="CA23" s="369"/>
      <c r="CB23" s="369"/>
      <c r="CC23" s="369"/>
      <c r="CD23" s="369"/>
      <c r="CE23" s="369"/>
      <c r="CF23" s="369"/>
      <c r="CG23" s="369"/>
      <c r="CH23" s="369"/>
      <c r="CI23" s="369"/>
      <c r="CJ23" s="369"/>
      <c r="CK23" s="369"/>
      <c r="CL23" s="369"/>
      <c r="CM23" s="369"/>
      <c r="CN23" s="369"/>
      <c r="CP23" s="369"/>
      <c r="CQ23" s="369"/>
      <c r="CR23" s="369"/>
      <c r="CS23" s="369"/>
      <c r="CT23" s="369"/>
      <c r="CU23" s="369"/>
      <c r="CV23" s="369"/>
      <c r="CW23" s="369"/>
      <c r="CX23" s="369"/>
      <c r="CY23" s="369"/>
      <c r="CZ23" s="369"/>
      <c r="DA23" s="369"/>
      <c r="DB23" s="369"/>
      <c r="DC23" s="369"/>
      <c r="DD23" s="369"/>
      <c r="DE23" s="369"/>
      <c r="DF23" s="369"/>
      <c r="DG23" s="369"/>
      <c r="DH23" s="369"/>
      <c r="DI23" s="369"/>
      <c r="DJ23" s="369"/>
      <c r="DK23" s="369"/>
      <c r="DL23" s="369"/>
      <c r="DM23" s="369"/>
    </row>
    <row r="24" spans="1:117" x14ac:dyDescent="0.25">
      <c r="C24" s="509" t="s">
        <v>127</v>
      </c>
      <c r="D24" s="360"/>
      <c r="E24" s="360">
        <f>HY!E226</f>
        <v>-10.1</v>
      </c>
      <c r="F24" s="360">
        <f>HY!F226</f>
        <v>-10.500000000000002</v>
      </c>
      <c r="G24" s="360">
        <f>HY!G226</f>
        <v>-18.700000000000003</v>
      </c>
      <c r="H24" s="360">
        <f>HY!H226</f>
        <v>-16.899999999999999</v>
      </c>
      <c r="I24" s="360">
        <f>HY!I226</f>
        <v>-22.2</v>
      </c>
      <c r="J24" s="360">
        <f>HY!J226</f>
        <v>-17.699999999999996</v>
      </c>
      <c r="K24" s="360">
        <f>HY!K226</f>
        <v>-17.5</v>
      </c>
      <c r="L24" s="360">
        <f>HY!L226</f>
        <v>-16</v>
      </c>
      <c r="M24" s="360">
        <f>HY!M226</f>
        <v>-17.649063431999998</v>
      </c>
      <c r="N24" s="360">
        <f>HY!N226</f>
        <v>-15.570575945400005</v>
      </c>
      <c r="O24" s="360">
        <f>HY!O226</f>
        <v>-17.309658366000001</v>
      </c>
      <c r="P24" s="360">
        <f>HY!P226</f>
        <v>-15.546694693950005</v>
      </c>
      <c r="Q24" s="360">
        <f>HY!Q226</f>
        <v>-16.571452347450002</v>
      </c>
      <c r="R24" s="360">
        <f>HY!R226</f>
        <v>-16.324029428647506</v>
      </c>
      <c r="S24" s="360">
        <f>HY!S226</f>
        <v>-16.838733836924998</v>
      </c>
      <c r="T24" s="360">
        <f>HY!T226</f>
        <v>-16.587320225883758</v>
      </c>
      <c r="U24" s="360">
        <f>HY!U226</f>
        <v>-17.680670528771252</v>
      </c>
      <c r="V24" s="360">
        <f>HY!V226</f>
        <v>-17.416686237177949</v>
      </c>
      <c r="W24" s="360">
        <f>HY!W226</f>
        <v>-18.564704055209809</v>
      </c>
      <c r="X24" s="360">
        <f>HY!X226</f>
        <v>-18.287520549036845</v>
      </c>
      <c r="Y24" s="360">
        <f>HY!Y226</f>
        <v>-19.492939257970299</v>
      </c>
      <c r="Z24" s="360">
        <f>HY!Z226</f>
        <v>-19.201896576488689</v>
      </c>
      <c r="AA24" s="360">
        <f>HY!AA226</f>
        <v>-20.467586220868817</v>
      </c>
      <c r="AB24" s="360">
        <f>HY!AB226</f>
        <v>-20.161991405313124</v>
      </c>
      <c r="AC24" s="360"/>
      <c r="AD24" s="361">
        <f>_xlfn.XLOOKUP(AD$2,$E$5:$AB$5,$E24:$AB24)</f>
        <v>-18.700000000000003</v>
      </c>
      <c r="AE24" s="515"/>
      <c r="AF24" s="362">
        <f>AE24/AD24-1</f>
        <v>-1</v>
      </c>
      <c r="AG24" s="361">
        <f>_xlfn.XLOOKUP(AG$2,$E$5:$AB$5,$E24:$AB24)</f>
        <v>-17.5</v>
      </c>
      <c r="AH24" s="362">
        <f>$AE24/AG24-1</f>
        <v>-1</v>
      </c>
      <c r="AI24" s="361" t="e">
        <f>_xlfn.XLOOKUP(AI$2,$BQ$5:$CN$5,$BQ24:$CN24)</f>
        <v>#N/A</v>
      </c>
      <c r="AJ24" s="362" t="e">
        <f>$AE24/AI24-1</f>
        <v>#N/A</v>
      </c>
      <c r="AK24" s="363"/>
      <c r="AL24" s="364"/>
      <c r="BQ24" s="369"/>
      <c r="BR24" s="369"/>
      <c r="BS24" s="369"/>
      <c r="BT24" s="369"/>
      <c r="BU24" s="369"/>
      <c r="BV24" s="369"/>
      <c r="BW24" s="369"/>
      <c r="BX24" s="369"/>
      <c r="BY24" s="369"/>
      <c r="BZ24" s="369"/>
      <c r="CA24" s="369"/>
      <c r="CB24" s="369"/>
      <c r="CC24" s="369"/>
      <c r="CD24" s="369"/>
      <c r="CE24" s="369"/>
      <c r="CF24" s="369"/>
      <c r="CG24" s="369"/>
      <c r="CH24" s="369"/>
      <c r="CI24" s="369"/>
      <c r="CJ24" s="369"/>
      <c r="CK24" s="369"/>
      <c r="CL24" s="369"/>
      <c r="CM24" s="369"/>
      <c r="CN24" s="369"/>
      <c r="CP24" s="369"/>
      <c r="CQ24" s="369"/>
      <c r="CR24" s="369"/>
      <c r="CS24" s="369"/>
      <c r="CT24" s="369"/>
      <c r="CU24" s="369"/>
      <c r="CV24" s="369"/>
      <c r="CW24" s="369"/>
      <c r="CX24" s="369"/>
      <c r="CY24" s="369"/>
      <c r="CZ24" s="369"/>
      <c r="DA24" s="369"/>
      <c r="DB24" s="369"/>
      <c r="DC24" s="369"/>
      <c r="DD24" s="369"/>
      <c r="DE24" s="369"/>
      <c r="DF24" s="369"/>
      <c r="DG24" s="369"/>
      <c r="DH24" s="369"/>
      <c r="DI24" s="369"/>
      <c r="DJ24" s="369"/>
      <c r="DK24" s="369"/>
      <c r="DL24" s="369"/>
      <c r="DM24" s="369"/>
    </row>
    <row r="25" spans="1:117" x14ac:dyDescent="0.25">
      <c r="C25" s="512"/>
      <c r="D25" s="360"/>
      <c r="E25" s="360"/>
      <c r="F25" s="360"/>
      <c r="G25" s="360"/>
      <c r="H25" s="360"/>
      <c r="I25" s="360"/>
      <c r="J25" s="360"/>
      <c r="K25" s="360"/>
      <c r="L25" s="360"/>
      <c r="M25" s="360"/>
      <c r="N25" s="360"/>
      <c r="O25" s="360"/>
      <c r="P25" s="360"/>
      <c r="Q25" s="360"/>
      <c r="R25" s="360"/>
      <c r="S25" s="360"/>
      <c r="T25" s="360"/>
      <c r="U25" s="360"/>
      <c r="V25" s="360"/>
      <c r="W25" s="360"/>
      <c r="X25" s="360"/>
      <c r="Y25" s="360"/>
      <c r="Z25" s="360"/>
      <c r="AA25" s="360"/>
      <c r="AB25" s="360"/>
      <c r="AC25" s="360"/>
      <c r="AD25" s="514"/>
      <c r="AE25" s="513"/>
      <c r="AF25" s="362"/>
      <c r="AG25" s="514"/>
      <c r="AH25" s="362"/>
      <c r="AI25" s="514"/>
      <c r="AJ25" s="362"/>
      <c r="AK25" s="363"/>
      <c r="AL25" s="364"/>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c r="CM25" s="369"/>
      <c r="CN25" s="369"/>
      <c r="CP25" s="369"/>
      <c r="CQ25" s="369"/>
      <c r="CR25" s="369"/>
      <c r="CS25" s="369"/>
      <c r="CT25" s="369"/>
      <c r="CU25" s="369"/>
      <c r="CV25" s="369"/>
      <c r="CW25" s="369"/>
      <c r="CX25" s="369"/>
      <c r="CY25" s="369"/>
      <c r="CZ25" s="369"/>
      <c r="DA25" s="369"/>
      <c r="DB25" s="369"/>
      <c r="DC25" s="369"/>
      <c r="DD25" s="369"/>
      <c r="DE25" s="369"/>
      <c r="DF25" s="369"/>
      <c r="DG25" s="369"/>
      <c r="DH25" s="369"/>
      <c r="DI25" s="369"/>
      <c r="DJ25" s="369"/>
      <c r="DK25" s="369"/>
      <c r="DL25" s="369"/>
      <c r="DM25" s="369"/>
    </row>
    <row r="26" spans="1:117" x14ac:dyDescent="0.25">
      <c r="C26" s="508" t="s">
        <v>1298</v>
      </c>
      <c r="D26" s="360"/>
      <c r="E26" s="360"/>
      <c r="F26" s="360"/>
      <c r="G26" s="360"/>
      <c r="H26" s="360"/>
      <c r="I26" s="360"/>
      <c r="J26" s="360"/>
      <c r="K26" s="360"/>
      <c r="L26" s="360"/>
      <c r="M26" s="360"/>
      <c r="N26" s="360"/>
      <c r="O26" s="360"/>
      <c r="P26" s="360"/>
      <c r="Q26" s="360"/>
      <c r="R26" s="360"/>
      <c r="S26" s="360"/>
      <c r="T26" s="360"/>
      <c r="U26" s="360"/>
      <c r="V26" s="360"/>
      <c r="W26" s="360"/>
      <c r="X26" s="360"/>
      <c r="Y26" s="360"/>
      <c r="Z26" s="360"/>
      <c r="AA26" s="360"/>
      <c r="AB26" s="360"/>
      <c r="AC26" s="360"/>
      <c r="AD26" s="514"/>
      <c r="AE26" s="513"/>
      <c r="AF26" s="362"/>
      <c r="AG26" s="514"/>
      <c r="AH26" s="362"/>
      <c r="AI26" s="514"/>
      <c r="AJ26" s="362"/>
      <c r="AK26" s="363"/>
      <c r="AL26" s="364"/>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c r="CM26" s="369"/>
      <c r="CN26" s="369"/>
      <c r="CP26" s="369"/>
      <c r="CQ26" s="369"/>
      <c r="CR26" s="369"/>
      <c r="CS26" s="369"/>
      <c r="CT26" s="369"/>
      <c r="CU26" s="369"/>
      <c r="CV26" s="369"/>
      <c r="CW26" s="369"/>
      <c r="CX26" s="369"/>
      <c r="CY26" s="369"/>
      <c r="CZ26" s="369"/>
      <c r="DA26" s="369"/>
      <c r="DB26" s="369"/>
      <c r="DC26" s="369"/>
      <c r="DD26" s="369"/>
      <c r="DE26" s="369"/>
      <c r="DF26" s="369"/>
      <c r="DG26" s="369"/>
      <c r="DH26" s="369"/>
      <c r="DI26" s="369"/>
      <c r="DJ26" s="369"/>
      <c r="DK26" s="369"/>
      <c r="DL26" s="369"/>
      <c r="DM26" s="369"/>
    </row>
    <row r="27" spans="1:117" x14ac:dyDescent="0.25">
      <c r="C27" s="510" t="s">
        <v>71</v>
      </c>
      <c r="E27" s="517">
        <f t="shared" ref="E27:AB27" si="12">E22/E$15</f>
        <v>-0.41693811074918569</v>
      </c>
      <c r="F27" s="517">
        <f t="shared" si="12"/>
        <v>-0.43343653250774</v>
      </c>
      <c r="G27" s="517">
        <f t="shared" si="12"/>
        <v>-0.5</v>
      </c>
      <c r="H27" s="517">
        <f t="shared" si="12"/>
        <v>-0.49378109452736318</v>
      </c>
      <c r="I27" s="517">
        <f t="shared" si="12"/>
        <v>-0.56728232189973615</v>
      </c>
      <c r="J27" s="517">
        <f t="shared" si="12"/>
        <v>-0.50911300121506686</v>
      </c>
      <c r="K27" s="517">
        <f t="shared" si="12"/>
        <v>-0.53371238540970989</v>
      </c>
      <c r="L27" s="517">
        <f t="shared" si="12"/>
        <v>-0.5117344752466898</v>
      </c>
      <c r="M27" s="517">
        <f t="shared" si="12"/>
        <v>-0.52309364857859841</v>
      </c>
      <c r="N27" s="517">
        <f t="shared" si="12"/>
        <v>-0.50937907104529057</v>
      </c>
      <c r="O27" s="517">
        <f t="shared" si="12"/>
        <v>-0.52303472193900613</v>
      </c>
      <c r="P27" s="517">
        <f t="shared" si="12"/>
        <v>-0.50931925125604871</v>
      </c>
      <c r="Q27" s="517">
        <f t="shared" si="12"/>
        <v>-0.52297691771159638</v>
      </c>
      <c r="R27" s="517">
        <f t="shared" si="12"/>
        <v>-0.50926057089136378</v>
      </c>
      <c r="S27" s="517">
        <f t="shared" si="12"/>
        <v>-0.52292021451708992</v>
      </c>
      <c r="T27" s="517">
        <f t="shared" si="12"/>
        <v>-0.50920300824791109</v>
      </c>
      <c r="U27" s="517">
        <f t="shared" si="12"/>
        <v>-0.522864591383431</v>
      </c>
      <c r="V27" s="517">
        <f t="shared" si="12"/>
        <v>-0.50914654203576204</v>
      </c>
      <c r="W27" s="517">
        <f t="shared" si="12"/>
        <v>-0.52281002773803231</v>
      </c>
      <c r="X27" s="517">
        <f t="shared" si="12"/>
        <v>-0.5090911513705112</v>
      </c>
      <c r="Y27" s="517">
        <f t="shared" si="12"/>
        <v>-0.52275650340016522</v>
      </c>
      <c r="Z27" s="517">
        <f t="shared" si="12"/>
        <v>-0.50903681576555093</v>
      </c>
      <c r="AA27" s="517">
        <f t="shared" si="12"/>
        <v>-0.52270399857349514</v>
      </c>
      <c r="AB27" s="517">
        <f t="shared" si="12"/>
        <v>-0.50898351512449447</v>
      </c>
      <c r="AD27" s="519">
        <f>_xlfn.XLOOKUP(AD$2,$E$5:$AB$5,$E27:$AB27)</f>
        <v>-0.5</v>
      </c>
      <c r="AE27" s="517"/>
      <c r="AF27" s="518">
        <f>(AE27-AD27)*100</f>
        <v>50</v>
      </c>
      <c r="AG27" s="519">
        <f>_xlfn.XLOOKUP(AG$2,$E$5:$AB$5,$E27:$AB27)</f>
        <v>-0.53371238540970989</v>
      </c>
      <c r="AH27" s="518">
        <f>($AE27-AG27)*100</f>
        <v>53.371238540970992</v>
      </c>
      <c r="AI27" s="519" t="e">
        <f>_xlfn.XLOOKUP(AI$2,$BQ$5:$CN$5,$BQ27:$CN27)</f>
        <v>#N/A</v>
      </c>
      <c r="AJ27" s="518" t="e">
        <f>($AE27-AI27)*100</f>
        <v>#N/A</v>
      </c>
      <c r="AR27" s="520" t="e">
        <f t="shared" ref="AR27:BO27" si="13">AR21/AR16</f>
        <v>#VALUE!</v>
      </c>
      <c r="AS27" s="520" t="e">
        <f t="shared" si="13"/>
        <v>#VALUE!</v>
      </c>
      <c r="AT27" s="520" t="e">
        <f t="shared" si="13"/>
        <v>#VALUE!</v>
      </c>
      <c r="AU27" s="520" t="e">
        <f t="shared" si="13"/>
        <v>#VALUE!</v>
      </c>
      <c r="AV27" s="520" t="e">
        <f t="shared" si="13"/>
        <v>#VALUE!</v>
      </c>
      <c r="AW27" s="520" t="e">
        <f t="shared" si="13"/>
        <v>#VALUE!</v>
      </c>
      <c r="AX27" s="520" t="e">
        <f t="shared" si="13"/>
        <v>#VALUE!</v>
      </c>
      <c r="AY27" s="520" t="e">
        <f t="shared" si="13"/>
        <v>#VALUE!</v>
      </c>
      <c r="AZ27" s="520" t="e">
        <f t="shared" si="13"/>
        <v>#VALUE!</v>
      </c>
      <c r="BA27" s="520" t="e">
        <f t="shared" si="13"/>
        <v>#VALUE!</v>
      </c>
      <c r="BB27" s="520" t="e">
        <f t="shared" si="13"/>
        <v>#VALUE!</v>
      </c>
      <c r="BC27" s="520" t="e">
        <f t="shared" si="13"/>
        <v>#VALUE!</v>
      </c>
      <c r="BD27" s="520" t="e">
        <f t="shared" si="13"/>
        <v>#VALUE!</v>
      </c>
      <c r="BE27" s="520" t="e">
        <f t="shared" si="13"/>
        <v>#VALUE!</v>
      </c>
      <c r="BF27" s="520" t="e">
        <f t="shared" si="13"/>
        <v>#VALUE!</v>
      </c>
      <c r="BG27" s="520" t="e">
        <f t="shared" si="13"/>
        <v>#VALUE!</v>
      </c>
      <c r="BH27" s="520" t="e">
        <f t="shared" si="13"/>
        <v>#VALUE!</v>
      </c>
      <c r="BI27" s="520" t="e">
        <f t="shared" si="13"/>
        <v>#VALUE!</v>
      </c>
      <c r="BJ27" s="520" t="e">
        <f t="shared" si="13"/>
        <v>#VALUE!</v>
      </c>
      <c r="BK27" s="520" t="e">
        <f t="shared" si="13"/>
        <v>#VALUE!</v>
      </c>
      <c r="BL27" s="520" t="e">
        <f t="shared" si="13"/>
        <v>#VALUE!</v>
      </c>
      <c r="BM27" s="520" t="e">
        <f t="shared" si="13"/>
        <v>#VALUE!</v>
      </c>
      <c r="BN27" s="520" t="e">
        <f t="shared" si="13"/>
        <v>#VALUE!</v>
      </c>
      <c r="BO27" s="520" t="e">
        <f t="shared" si="13"/>
        <v>#VALUE!</v>
      </c>
      <c r="BQ27" s="522">
        <v>0.49164677804295942</v>
      </c>
      <c r="BR27" s="522">
        <v>0.49469214437367298</v>
      </c>
      <c r="BS27" s="522">
        <v>0.5053763440860215</v>
      </c>
      <c r="BT27" s="522">
        <v>0.49395161290322581</v>
      </c>
      <c r="BU27" s="522">
        <v>0.48739495798319332</v>
      </c>
      <c r="BV27" s="522">
        <v>0.50463821892393323</v>
      </c>
      <c r="BW27" s="522">
        <v>0.4972067039106145</v>
      </c>
      <c r="BX27" s="522">
        <v>0.49902912621359219</v>
      </c>
      <c r="BY27" s="522">
        <v>0.5131313131313131</v>
      </c>
      <c r="BZ27" s="522">
        <v>0.53030303030303028</v>
      </c>
      <c r="CA27" s="522">
        <v>0.54659498207885304</v>
      </c>
      <c r="CB27" s="522">
        <v>0.52422510464474525</v>
      </c>
      <c r="CC27" s="522">
        <v>0.53169413856485426</v>
      </c>
      <c r="CD27" s="522">
        <v>0.5341045393823064</v>
      </c>
      <c r="CE27" s="522">
        <v>0.5340721895151368</v>
      </c>
      <c r="CF27" s="522">
        <v>0.53167570451480317</v>
      </c>
      <c r="CG27" s="522">
        <v>0.53400952714035277</v>
      </c>
      <c r="CH27" s="522">
        <v>0.5383552165875547</v>
      </c>
      <c r="CI27" s="522">
        <v>0.53872768262828874</v>
      </c>
      <c r="CJ27" s="522">
        <v>0.53741362528986236</v>
      </c>
      <c r="CK27" s="522">
        <v>0.53880647882126786</v>
      </c>
      <c r="CL27" s="522">
        <v>0.54285599654503736</v>
      </c>
      <c r="CM27" s="522">
        <v>0.54355124575402769</v>
      </c>
      <c r="CN27" s="522">
        <v>0.54088253710133283</v>
      </c>
      <c r="CP27" s="524">
        <f t="shared" ref="CP27:CY29" si="14">E27-BQ27</f>
        <v>-0.90858488879214505</v>
      </c>
      <c r="CQ27" s="524">
        <f t="shared" si="14"/>
        <v>-0.92812867688141298</v>
      </c>
      <c r="CR27" s="524">
        <f t="shared" si="14"/>
        <v>-1.0053763440860215</v>
      </c>
      <c r="CS27" s="524">
        <f t="shared" si="14"/>
        <v>-0.98773270743058905</v>
      </c>
      <c r="CT27" s="524">
        <f t="shared" si="14"/>
        <v>-1.0546772798829296</v>
      </c>
      <c r="CU27" s="524">
        <f t="shared" si="14"/>
        <v>-1.013751220139</v>
      </c>
      <c r="CV27" s="524">
        <f t="shared" si="14"/>
        <v>-1.0309190893203244</v>
      </c>
      <c r="CW27" s="524">
        <f t="shared" si="14"/>
        <v>-1.0107636014602819</v>
      </c>
      <c r="CX27" s="524">
        <f t="shared" si="14"/>
        <v>-1.0362249617099115</v>
      </c>
      <c r="CY27" s="524">
        <f t="shared" si="14"/>
        <v>-1.0396821013483208</v>
      </c>
      <c r="CZ27" s="524">
        <f t="shared" ref="CZ27:DI29" si="15">O27-CA27</f>
        <v>-1.0696297040178591</v>
      </c>
      <c r="DA27" s="524">
        <f t="shared" si="15"/>
        <v>-1.033544355900794</v>
      </c>
      <c r="DB27" s="524">
        <f t="shared" si="15"/>
        <v>-1.0546710562764505</v>
      </c>
      <c r="DC27" s="524">
        <f t="shared" si="15"/>
        <v>-1.0433651102736703</v>
      </c>
      <c r="DD27" s="524">
        <f t="shared" si="15"/>
        <v>-1.0569924040322267</v>
      </c>
      <c r="DE27" s="524">
        <f t="shared" si="15"/>
        <v>-1.0408787127627144</v>
      </c>
      <c r="DF27" s="524">
        <f t="shared" si="15"/>
        <v>-1.0568741185237838</v>
      </c>
      <c r="DG27" s="524">
        <f t="shared" si="15"/>
        <v>-1.0475017586233166</v>
      </c>
      <c r="DH27" s="524">
        <f t="shared" si="15"/>
        <v>-1.0615377103663211</v>
      </c>
      <c r="DI27" s="524">
        <f t="shared" si="15"/>
        <v>-1.0465047766603734</v>
      </c>
      <c r="DJ27" s="524">
        <f t="shared" ref="DJ27:DM29" si="16">Y27-CK27</f>
        <v>-1.061562982221433</v>
      </c>
      <c r="DK27" s="524">
        <f t="shared" si="16"/>
        <v>-1.0518928123105882</v>
      </c>
      <c r="DL27" s="524">
        <f t="shared" si="16"/>
        <v>-1.0662552443275228</v>
      </c>
      <c r="DM27" s="524">
        <f t="shared" si="16"/>
        <v>-1.0498660522258274</v>
      </c>
    </row>
    <row r="28" spans="1:117" x14ac:dyDescent="0.25">
      <c r="C28" s="510" t="s">
        <v>121</v>
      </c>
      <c r="E28" s="517">
        <f t="shared" ref="E28:AB28" si="17">E23/E$15</f>
        <v>-0.21824104234527689</v>
      </c>
      <c r="F28" s="517">
        <f t="shared" si="17"/>
        <v>-0.11764705882352941</v>
      </c>
      <c r="G28" s="517">
        <f t="shared" si="17"/>
        <v>-0.14688427299703263</v>
      </c>
      <c r="H28" s="517">
        <f t="shared" si="17"/>
        <v>-0.11940298507462685</v>
      </c>
      <c r="I28" s="517">
        <f t="shared" si="17"/>
        <v>-0.22559366754617416</v>
      </c>
      <c r="J28" s="517">
        <f t="shared" si="17"/>
        <v>-0.13487241798298905</v>
      </c>
      <c r="K28" s="517">
        <f t="shared" si="17"/>
        <v>-0.12993324030113329</v>
      </c>
      <c r="L28" s="517">
        <f t="shared" si="17"/>
        <v>-0.10442291959536314</v>
      </c>
      <c r="M28" s="517">
        <f t="shared" si="17"/>
        <v>-0.11858986217960579</v>
      </c>
      <c r="N28" s="517">
        <f t="shared" si="17"/>
        <v>-0.10468463117329638</v>
      </c>
      <c r="O28" s="517">
        <f t="shared" si="17"/>
        <v>-0.115</v>
      </c>
      <c r="P28" s="517">
        <f t="shared" si="17"/>
        <v>-0.1</v>
      </c>
      <c r="Q28" s="517">
        <f t="shared" si="17"/>
        <v>-0.115</v>
      </c>
      <c r="R28" s="517">
        <f t="shared" si="17"/>
        <v>-0.1</v>
      </c>
      <c r="S28" s="517">
        <f t="shared" si="17"/>
        <v>-0.115</v>
      </c>
      <c r="T28" s="517">
        <f t="shared" si="17"/>
        <v>-0.1</v>
      </c>
      <c r="U28" s="517">
        <f t="shared" si="17"/>
        <v>-0.115</v>
      </c>
      <c r="V28" s="517">
        <f t="shared" si="17"/>
        <v>-0.1</v>
      </c>
      <c r="W28" s="517">
        <f t="shared" si="17"/>
        <v>-0.115</v>
      </c>
      <c r="X28" s="517">
        <f t="shared" si="17"/>
        <v>-0.1</v>
      </c>
      <c r="Y28" s="517">
        <f t="shared" si="17"/>
        <v>-0.115</v>
      </c>
      <c r="Z28" s="517">
        <f t="shared" si="17"/>
        <v>-0.1</v>
      </c>
      <c r="AA28" s="517">
        <f t="shared" si="17"/>
        <v>-0.115</v>
      </c>
      <c r="AB28" s="517">
        <f t="shared" si="17"/>
        <v>-0.1</v>
      </c>
      <c r="AD28" s="519">
        <f>_xlfn.XLOOKUP(AD$2,$E$5:$AB$5,$E28:$AB28)</f>
        <v>-0.14688427299703263</v>
      </c>
      <c r="AE28" s="517"/>
      <c r="AF28" s="518">
        <f>(AE28-AD28)*100</f>
        <v>14.688427299703264</v>
      </c>
      <c r="AG28" s="519">
        <f>_xlfn.XLOOKUP(AG$2,$E$5:$AB$5,$E28:$AB28)</f>
        <v>-0.12993324030113329</v>
      </c>
      <c r="AH28" s="518">
        <f>($AE28-AG28)*100</f>
        <v>12.993324030113328</v>
      </c>
      <c r="AI28" s="519" t="e">
        <f>_xlfn.XLOOKUP(AI$2,$BQ$5:$CN$5,$BQ28:$CN28)</f>
        <v>#N/A</v>
      </c>
      <c r="AJ28" s="518" t="e">
        <f>($AE28-AI28)*100</f>
        <v>#N/A</v>
      </c>
      <c r="AR28" s="520" t="e">
        <f t="shared" ref="AR28:BO28" si="18">AR22/AR17</f>
        <v>#DIV/0!</v>
      </c>
      <c r="AS28" s="520" t="e">
        <f t="shared" si="18"/>
        <v>#DIV/0!</v>
      </c>
      <c r="AT28" s="520" t="e">
        <f t="shared" si="18"/>
        <v>#DIV/0!</v>
      </c>
      <c r="AU28" s="520" t="e">
        <f t="shared" si="18"/>
        <v>#DIV/0!</v>
      </c>
      <c r="AV28" s="520" t="e">
        <f t="shared" si="18"/>
        <v>#DIV/0!</v>
      </c>
      <c r="AW28" s="520" t="e">
        <f t="shared" si="18"/>
        <v>#DIV/0!</v>
      </c>
      <c r="AX28" s="520" t="e">
        <f t="shared" si="18"/>
        <v>#DIV/0!</v>
      </c>
      <c r="AY28" s="520" t="e">
        <f t="shared" si="18"/>
        <v>#DIV/0!</v>
      </c>
      <c r="AZ28" s="520" t="e">
        <f t="shared" si="18"/>
        <v>#DIV/0!</v>
      </c>
      <c r="BA28" s="520" t="e">
        <f t="shared" si="18"/>
        <v>#DIV/0!</v>
      </c>
      <c r="BB28" s="520" t="e">
        <f t="shared" si="18"/>
        <v>#DIV/0!</v>
      </c>
      <c r="BC28" s="520" t="e">
        <f t="shared" si="18"/>
        <v>#DIV/0!</v>
      </c>
      <c r="BD28" s="520" t="e">
        <f t="shared" si="18"/>
        <v>#DIV/0!</v>
      </c>
      <c r="BE28" s="520" t="e">
        <f t="shared" si="18"/>
        <v>#DIV/0!</v>
      </c>
      <c r="BF28" s="520" t="e">
        <f t="shared" si="18"/>
        <v>#DIV/0!</v>
      </c>
      <c r="BG28" s="520" t="e">
        <f t="shared" si="18"/>
        <v>#DIV/0!</v>
      </c>
      <c r="BH28" s="520" t="e">
        <f t="shared" si="18"/>
        <v>#DIV/0!</v>
      </c>
      <c r="BI28" s="520" t="e">
        <f t="shared" si="18"/>
        <v>#DIV/0!</v>
      </c>
      <c r="BJ28" s="520" t="e">
        <f t="shared" si="18"/>
        <v>#DIV/0!</v>
      </c>
      <c r="BK28" s="520" t="e">
        <f t="shared" si="18"/>
        <v>#DIV/0!</v>
      </c>
      <c r="BL28" s="520" t="e">
        <f t="shared" si="18"/>
        <v>#DIV/0!</v>
      </c>
      <c r="BM28" s="520" t="e">
        <f t="shared" si="18"/>
        <v>#DIV/0!</v>
      </c>
      <c r="BN28" s="520" t="e">
        <f t="shared" si="18"/>
        <v>#DIV/0!</v>
      </c>
      <c r="BO28" s="520" t="e">
        <f t="shared" si="18"/>
        <v>#DIV/0!</v>
      </c>
      <c r="BQ28" s="522">
        <v>0.49164677804295942</v>
      </c>
      <c r="BR28" s="522">
        <v>0.49469214437367298</v>
      </c>
      <c r="BS28" s="522">
        <v>0.5053763440860215</v>
      </c>
      <c r="BT28" s="522">
        <v>0.49395161290322581</v>
      </c>
      <c r="BU28" s="522">
        <v>0.48739495798319332</v>
      </c>
      <c r="BV28" s="522">
        <v>0.50463821892393323</v>
      </c>
      <c r="BW28" s="522">
        <v>0.4972067039106145</v>
      </c>
      <c r="BX28" s="522">
        <v>0.49902912621359219</v>
      </c>
      <c r="BY28" s="522">
        <v>0.5131313131313131</v>
      </c>
      <c r="BZ28" s="522">
        <v>0.53030303030303028</v>
      </c>
      <c r="CA28" s="522">
        <v>0.54659498207885304</v>
      </c>
      <c r="CB28" s="522">
        <v>0.52422510464474525</v>
      </c>
      <c r="CC28" s="522">
        <v>0.53169413856485426</v>
      </c>
      <c r="CD28" s="522">
        <v>0.5341045393823064</v>
      </c>
      <c r="CE28" s="522">
        <v>0.5340721895151368</v>
      </c>
      <c r="CF28" s="522">
        <v>0.53167570451480317</v>
      </c>
      <c r="CG28" s="522">
        <v>0.53400952714035277</v>
      </c>
      <c r="CH28" s="522">
        <v>0.5383552165875547</v>
      </c>
      <c r="CI28" s="522">
        <v>0.53872768262828874</v>
      </c>
      <c r="CJ28" s="522">
        <v>0.53741362528986236</v>
      </c>
      <c r="CK28" s="522">
        <v>0.53880647882126786</v>
      </c>
      <c r="CL28" s="522">
        <v>0.54285599654503736</v>
      </c>
      <c r="CM28" s="522">
        <v>0.54355124575402769</v>
      </c>
      <c r="CN28" s="522">
        <v>0.54088253710133283</v>
      </c>
      <c r="CP28" s="524">
        <f t="shared" si="14"/>
        <v>-0.70988782038823628</v>
      </c>
      <c r="CQ28" s="524">
        <f t="shared" si="14"/>
        <v>-0.61233920319720236</v>
      </c>
      <c r="CR28" s="524">
        <f t="shared" si="14"/>
        <v>-0.65226061708305416</v>
      </c>
      <c r="CS28" s="524">
        <f t="shared" si="14"/>
        <v>-0.61335459797785263</v>
      </c>
      <c r="CT28" s="524">
        <f t="shared" si="14"/>
        <v>-0.71298862552936748</v>
      </c>
      <c r="CU28" s="524">
        <f t="shared" si="14"/>
        <v>-0.63951063690692234</v>
      </c>
      <c r="CV28" s="524">
        <f t="shared" si="14"/>
        <v>-0.62713994421174779</v>
      </c>
      <c r="CW28" s="524">
        <f t="shared" si="14"/>
        <v>-0.60345204580895528</v>
      </c>
      <c r="CX28" s="524">
        <f t="shared" si="14"/>
        <v>-0.63172117531091887</v>
      </c>
      <c r="CY28" s="524">
        <f t="shared" si="14"/>
        <v>-0.63498766147632668</v>
      </c>
      <c r="CZ28" s="524">
        <f t="shared" si="15"/>
        <v>-0.66159498207885303</v>
      </c>
      <c r="DA28" s="524">
        <f t="shared" si="15"/>
        <v>-0.62422510464474523</v>
      </c>
      <c r="DB28" s="524">
        <f t="shared" si="15"/>
        <v>-0.64669413856485425</v>
      </c>
      <c r="DC28" s="524">
        <f t="shared" si="15"/>
        <v>-0.63410453938230638</v>
      </c>
      <c r="DD28" s="524">
        <f t="shared" si="15"/>
        <v>-0.64907218951513679</v>
      </c>
      <c r="DE28" s="524">
        <f t="shared" si="15"/>
        <v>-0.63167570451480315</v>
      </c>
      <c r="DF28" s="524">
        <f t="shared" si="15"/>
        <v>-0.64900952714035276</v>
      </c>
      <c r="DG28" s="524">
        <f t="shared" si="15"/>
        <v>-0.63835521658755467</v>
      </c>
      <c r="DH28" s="524">
        <f t="shared" si="15"/>
        <v>-0.65372768262828873</v>
      </c>
      <c r="DI28" s="524">
        <f t="shared" si="15"/>
        <v>-0.63741362528986234</v>
      </c>
      <c r="DJ28" s="524">
        <f t="shared" si="16"/>
        <v>-0.65380647882126786</v>
      </c>
      <c r="DK28" s="524">
        <f t="shared" si="16"/>
        <v>-0.64285599654503733</v>
      </c>
      <c r="DL28" s="524">
        <f t="shared" si="16"/>
        <v>-0.65855124575402768</v>
      </c>
      <c r="DM28" s="524">
        <f t="shared" si="16"/>
        <v>-0.64088253710133281</v>
      </c>
    </row>
    <row r="29" spans="1:117" x14ac:dyDescent="0.25">
      <c r="C29" s="510" t="s">
        <v>127</v>
      </c>
      <c r="E29" s="517">
        <f t="shared" ref="E29:AB29" si="19">E24/E$15</f>
        <v>-0.3289902280130293</v>
      </c>
      <c r="F29" s="517">
        <f t="shared" si="19"/>
        <v>-0.32507739938080504</v>
      </c>
      <c r="G29" s="517">
        <f t="shared" si="19"/>
        <v>-0.27744807121661724</v>
      </c>
      <c r="H29" s="517">
        <f t="shared" si="19"/>
        <v>-0.21019900497512434</v>
      </c>
      <c r="I29" s="517">
        <f t="shared" si="19"/>
        <v>-0.29287598944591031</v>
      </c>
      <c r="J29" s="517">
        <f t="shared" si="19"/>
        <v>-0.21506682867557711</v>
      </c>
      <c r="K29" s="517">
        <f t="shared" si="19"/>
        <v>-0.18948597543915269</v>
      </c>
      <c r="L29" s="517">
        <f t="shared" si="19"/>
        <v>-0.17587018037113791</v>
      </c>
      <c r="M29" s="517">
        <f t="shared" si="19"/>
        <v>-0.18200000000000002</v>
      </c>
      <c r="N29" s="517">
        <f t="shared" si="19"/>
        <v>-0.16300000000000001</v>
      </c>
      <c r="O29" s="517">
        <f t="shared" si="19"/>
        <v>-0.17</v>
      </c>
      <c r="P29" s="517">
        <f t="shared" si="19"/>
        <v>-0.155</v>
      </c>
      <c r="Q29" s="517">
        <f t="shared" si="19"/>
        <v>-0.155</v>
      </c>
      <c r="R29" s="517">
        <f t="shared" si="19"/>
        <v>-0.155</v>
      </c>
      <c r="S29" s="517">
        <f t="shared" si="19"/>
        <v>-0.15</v>
      </c>
      <c r="T29" s="517">
        <f t="shared" si="19"/>
        <v>-0.15</v>
      </c>
      <c r="U29" s="517">
        <f t="shared" si="19"/>
        <v>-0.15</v>
      </c>
      <c r="V29" s="517">
        <f t="shared" si="19"/>
        <v>-0.15</v>
      </c>
      <c r="W29" s="517">
        <f t="shared" si="19"/>
        <v>-0.15</v>
      </c>
      <c r="X29" s="517">
        <f t="shared" si="19"/>
        <v>-0.15</v>
      </c>
      <c r="Y29" s="517">
        <f t="shared" si="19"/>
        <v>-0.15</v>
      </c>
      <c r="Z29" s="517">
        <f t="shared" si="19"/>
        <v>-0.15</v>
      </c>
      <c r="AA29" s="517">
        <f t="shared" si="19"/>
        <v>-0.15</v>
      </c>
      <c r="AB29" s="517">
        <f t="shared" si="19"/>
        <v>-0.15</v>
      </c>
      <c r="AD29" s="519">
        <f>_xlfn.XLOOKUP(AD$2,$E$5:$AB$5,$E29:$AB29)</f>
        <v>-0.27744807121661724</v>
      </c>
      <c r="AE29" s="517"/>
      <c r="AF29" s="518">
        <f>(AE29-AD29)*100</f>
        <v>27.744807121661726</v>
      </c>
      <c r="AG29" s="519">
        <f>_xlfn.XLOOKUP(AG$2,$E$5:$AB$5,$E29:$AB29)</f>
        <v>-0.18948597543915269</v>
      </c>
      <c r="AH29" s="518">
        <f>($AE29-AG29)*100</f>
        <v>18.94859754391527</v>
      </c>
      <c r="AI29" s="519" t="e">
        <f>_xlfn.XLOOKUP(AI$2,$BQ$5:$CN$5,$BQ29:$CN29)</f>
        <v>#N/A</v>
      </c>
      <c r="AJ29" s="518" t="e">
        <f>($AE29-AI29)*100</f>
        <v>#N/A</v>
      </c>
      <c r="AR29" s="520" t="e">
        <f t="shared" ref="AR29:BO29" si="20">AR23/AR18</f>
        <v>#DIV/0!</v>
      </c>
      <c r="AS29" s="520" t="e">
        <f t="shared" si="20"/>
        <v>#DIV/0!</v>
      </c>
      <c r="AT29" s="520" t="e">
        <f t="shared" si="20"/>
        <v>#DIV/0!</v>
      </c>
      <c r="AU29" s="520" t="e">
        <f t="shared" si="20"/>
        <v>#DIV/0!</v>
      </c>
      <c r="AV29" s="520" t="e">
        <f t="shared" si="20"/>
        <v>#DIV/0!</v>
      </c>
      <c r="AW29" s="520" t="e">
        <f t="shared" si="20"/>
        <v>#DIV/0!</v>
      </c>
      <c r="AX29" s="520" t="e">
        <f t="shared" si="20"/>
        <v>#DIV/0!</v>
      </c>
      <c r="AY29" s="520" t="e">
        <f t="shared" si="20"/>
        <v>#DIV/0!</v>
      </c>
      <c r="AZ29" s="520" t="e">
        <f t="shared" si="20"/>
        <v>#DIV/0!</v>
      </c>
      <c r="BA29" s="520" t="e">
        <f t="shared" si="20"/>
        <v>#DIV/0!</v>
      </c>
      <c r="BB29" s="520" t="e">
        <f t="shared" si="20"/>
        <v>#DIV/0!</v>
      </c>
      <c r="BC29" s="520" t="e">
        <f t="shared" si="20"/>
        <v>#DIV/0!</v>
      </c>
      <c r="BD29" s="520" t="e">
        <f t="shared" si="20"/>
        <v>#DIV/0!</v>
      </c>
      <c r="BE29" s="520" t="e">
        <f t="shared" si="20"/>
        <v>#DIV/0!</v>
      </c>
      <c r="BF29" s="520" t="e">
        <f t="shared" si="20"/>
        <v>#DIV/0!</v>
      </c>
      <c r="BG29" s="520" t="e">
        <f t="shared" si="20"/>
        <v>#DIV/0!</v>
      </c>
      <c r="BH29" s="520" t="e">
        <f t="shared" si="20"/>
        <v>#DIV/0!</v>
      </c>
      <c r="BI29" s="520" t="e">
        <f t="shared" si="20"/>
        <v>#DIV/0!</v>
      </c>
      <c r="BJ29" s="520" t="e">
        <f t="shared" si="20"/>
        <v>#DIV/0!</v>
      </c>
      <c r="BK29" s="520" t="e">
        <f t="shared" si="20"/>
        <v>#DIV/0!</v>
      </c>
      <c r="BL29" s="520" t="e">
        <f t="shared" si="20"/>
        <v>#DIV/0!</v>
      </c>
      <c r="BM29" s="520" t="e">
        <f t="shared" si="20"/>
        <v>#DIV/0!</v>
      </c>
      <c r="BN29" s="520" t="e">
        <f t="shared" si="20"/>
        <v>#DIV/0!</v>
      </c>
      <c r="BO29" s="520" t="e">
        <f t="shared" si="20"/>
        <v>#DIV/0!</v>
      </c>
      <c r="BQ29" s="522">
        <v>0.49164677804295942</v>
      </c>
      <c r="BR29" s="522">
        <v>0.49469214437367298</v>
      </c>
      <c r="BS29" s="522">
        <v>0.5053763440860215</v>
      </c>
      <c r="BT29" s="522">
        <v>0.49395161290322581</v>
      </c>
      <c r="BU29" s="522">
        <v>0.48739495798319332</v>
      </c>
      <c r="BV29" s="522">
        <v>0.50463821892393323</v>
      </c>
      <c r="BW29" s="522">
        <v>0.4972067039106145</v>
      </c>
      <c r="BX29" s="522">
        <v>0.49902912621359219</v>
      </c>
      <c r="BY29" s="522">
        <v>0.5131313131313131</v>
      </c>
      <c r="BZ29" s="522">
        <v>0.53030303030303028</v>
      </c>
      <c r="CA29" s="522">
        <v>0.54659498207885304</v>
      </c>
      <c r="CB29" s="522">
        <v>0.52422510464474525</v>
      </c>
      <c r="CC29" s="522">
        <v>0.53169413856485426</v>
      </c>
      <c r="CD29" s="522">
        <v>0.5341045393823064</v>
      </c>
      <c r="CE29" s="522">
        <v>0.5340721895151368</v>
      </c>
      <c r="CF29" s="522">
        <v>0.53167570451480317</v>
      </c>
      <c r="CG29" s="522">
        <v>0.53400952714035277</v>
      </c>
      <c r="CH29" s="522">
        <v>0.5383552165875547</v>
      </c>
      <c r="CI29" s="522">
        <v>0.53872768262828874</v>
      </c>
      <c r="CJ29" s="522">
        <v>0.53741362528986236</v>
      </c>
      <c r="CK29" s="522">
        <v>0.53880647882126786</v>
      </c>
      <c r="CL29" s="522">
        <v>0.54285599654503736</v>
      </c>
      <c r="CM29" s="522">
        <v>0.54355124575402769</v>
      </c>
      <c r="CN29" s="522">
        <v>0.54088253710133283</v>
      </c>
      <c r="CP29" s="524">
        <f t="shared" si="14"/>
        <v>-0.82063700605598866</v>
      </c>
      <c r="CQ29" s="524">
        <f t="shared" si="14"/>
        <v>-0.81976954375447808</v>
      </c>
      <c r="CR29" s="524">
        <f t="shared" si="14"/>
        <v>-0.78282441530263869</v>
      </c>
      <c r="CS29" s="524">
        <f t="shared" si="14"/>
        <v>-0.70415061787835009</v>
      </c>
      <c r="CT29" s="524">
        <f t="shared" si="14"/>
        <v>-0.78027094742910363</v>
      </c>
      <c r="CU29" s="524">
        <f t="shared" si="14"/>
        <v>-0.71970504759951037</v>
      </c>
      <c r="CV29" s="524">
        <f t="shared" si="14"/>
        <v>-0.68669267934976719</v>
      </c>
      <c r="CW29" s="524">
        <f t="shared" si="14"/>
        <v>-0.67489930658473007</v>
      </c>
      <c r="CX29" s="524">
        <f t="shared" si="14"/>
        <v>-0.69513131313131316</v>
      </c>
      <c r="CY29" s="524">
        <f t="shared" si="14"/>
        <v>-0.69330303030303031</v>
      </c>
      <c r="CZ29" s="524">
        <f t="shared" si="15"/>
        <v>-0.71659498207885308</v>
      </c>
      <c r="DA29" s="524">
        <f t="shared" si="15"/>
        <v>-0.67922510464474528</v>
      </c>
      <c r="DB29" s="524">
        <f t="shared" si="15"/>
        <v>-0.68669413856485428</v>
      </c>
      <c r="DC29" s="524">
        <f t="shared" si="15"/>
        <v>-0.68910453938230642</v>
      </c>
      <c r="DD29" s="524">
        <f t="shared" si="15"/>
        <v>-0.68407218951513682</v>
      </c>
      <c r="DE29" s="524">
        <f t="shared" si="15"/>
        <v>-0.68167570451480319</v>
      </c>
      <c r="DF29" s="524">
        <f t="shared" si="15"/>
        <v>-0.68400952714035279</v>
      </c>
      <c r="DG29" s="524">
        <f t="shared" si="15"/>
        <v>-0.68835521658755472</v>
      </c>
      <c r="DH29" s="524">
        <f t="shared" si="15"/>
        <v>-0.68872768262828876</v>
      </c>
      <c r="DI29" s="524">
        <f t="shared" si="15"/>
        <v>-0.68741362528986238</v>
      </c>
      <c r="DJ29" s="524">
        <f t="shared" si="16"/>
        <v>-0.68880647882126789</v>
      </c>
      <c r="DK29" s="524">
        <f t="shared" si="16"/>
        <v>-0.69285599654503738</v>
      </c>
      <c r="DL29" s="524">
        <f t="shared" si="16"/>
        <v>-0.69355124575402771</v>
      </c>
      <c r="DM29" s="524">
        <f t="shared" si="16"/>
        <v>-0.69088253710133285</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autoPageBreaks="0"/>
  </sheetPr>
  <dimension ref="A2:BI31"/>
  <sheetViews>
    <sheetView showGridLines="0" zoomScaleNormal="100" workbookViewId="0">
      <selection activeCell="P1" sqref="P1:T1048576"/>
    </sheetView>
  </sheetViews>
  <sheetFormatPr defaultRowHeight="15" outlineLevelCol="1" x14ac:dyDescent="0.25"/>
  <cols>
    <col min="1" max="1" width="17.42578125" bestFit="1" customWidth="1"/>
    <col min="2" max="2" width="1.7109375" customWidth="1"/>
    <col min="3" max="3" width="27.85546875" customWidth="1"/>
    <col min="4" max="4" width="2.7109375" customWidth="1" outlineLevel="1"/>
    <col min="5" max="14" width="9.140625" customWidth="1" outlineLevel="1"/>
    <col min="15" max="15" width="2.7109375" customWidth="1" outlineLevel="1"/>
    <col min="16" max="20" width="9.140625" customWidth="1"/>
    <col min="21" max="22" width="9.140625" hidden="1" customWidth="1" outlineLevel="1"/>
    <col min="23" max="23" width="1.7109375" customWidth="1" collapsed="1"/>
    <col min="24" max="24" width="33" customWidth="1"/>
    <col min="25" max="25" width="2.7109375" customWidth="1"/>
    <col min="28" max="28" width="22.28515625" bestFit="1" customWidth="1"/>
    <col min="29" max="29" width="2.7109375" customWidth="1"/>
    <col min="30" max="39" width="10.28515625" customWidth="1"/>
    <col min="40" max="40" width="2.7109375" customWidth="1"/>
    <col min="51" max="51" width="2.7109375" customWidth="1"/>
  </cols>
  <sheetData>
    <row r="2" spans="1:61" x14ac:dyDescent="0.25">
      <c r="C2" s="507" t="s">
        <v>402</v>
      </c>
      <c r="P2" s="507" t="s">
        <v>1299</v>
      </c>
      <c r="Q2" s="526" t="str">
        <f>"FY26A"</f>
        <v>FY26A</v>
      </c>
      <c r="S2" s="507" t="s">
        <v>1300</v>
      </c>
      <c r="U2" s="525" t="s">
        <v>1300</v>
      </c>
      <c r="X2" s="527" t="s">
        <v>1264</v>
      </c>
    </row>
    <row r="4" spans="1:61" s="345" customFormat="1" ht="20.100000000000001" customHeight="1" x14ac:dyDescent="0.25">
      <c r="C4" s="346" t="str">
        <f>"BBT " &amp; $C$2 &amp; " - First Take"</f>
        <v>BBT FY26 - First Take</v>
      </c>
      <c r="D4" s="347"/>
      <c r="E4" s="347"/>
      <c r="F4" s="347"/>
      <c r="G4" s="347"/>
      <c r="H4" s="347"/>
      <c r="I4" s="347"/>
      <c r="J4" s="347"/>
      <c r="K4" s="347"/>
      <c r="L4" s="347"/>
      <c r="M4" s="347"/>
      <c r="N4" s="347"/>
      <c r="O4" s="347"/>
      <c r="P4" s="347"/>
      <c r="Q4" s="347"/>
      <c r="R4" s="347"/>
      <c r="S4" s="347"/>
      <c r="T4" s="347"/>
      <c r="U4" s="347"/>
      <c r="V4" s="347"/>
      <c r="W4" s="347"/>
      <c r="X4" s="347"/>
      <c r="AO4" s="347"/>
      <c r="AP4" s="347"/>
      <c r="AQ4" s="347"/>
      <c r="AR4" s="347"/>
      <c r="AS4" s="347"/>
      <c r="AT4" s="347"/>
      <c r="AU4" s="347"/>
      <c r="AV4" s="347"/>
      <c r="AW4" s="347"/>
      <c r="AX4" s="347"/>
      <c r="AZ4" s="347"/>
      <c r="BA4" s="347"/>
      <c r="BB4" s="347"/>
      <c r="BC4" s="347"/>
      <c r="BD4" s="347"/>
      <c r="BE4" s="347"/>
      <c r="BF4" s="347"/>
      <c r="BG4" s="347"/>
      <c r="BH4" s="347"/>
      <c r="BI4" s="347"/>
    </row>
    <row r="5" spans="1:61" ht="30" customHeight="1" x14ac:dyDescent="0.25">
      <c r="A5" s="345"/>
      <c r="C5" s="348"/>
      <c r="D5" s="349"/>
      <c r="E5" s="349" t="str">
        <f>FY!H6</f>
        <v>FY25A</v>
      </c>
      <c r="F5" s="349" t="str">
        <f>FY!I6</f>
        <v>FY26A</v>
      </c>
      <c r="G5" s="349" t="str">
        <f>FY!J6</f>
        <v>FY27E</v>
      </c>
      <c r="H5" s="349" t="str">
        <f>FY!K6</f>
        <v>FY28E</v>
      </c>
      <c r="I5" s="349" t="str">
        <f>FY!L6</f>
        <v>FY29E</v>
      </c>
      <c r="J5" s="349" t="str">
        <f>FY!M6</f>
        <v>FY30E</v>
      </c>
      <c r="K5" s="349" t="str">
        <f>FY!N6</f>
        <v>FY31E</v>
      </c>
      <c r="L5" s="349" t="str">
        <f>FY!O6</f>
        <v>FY32E</v>
      </c>
      <c r="M5" s="349" t="str">
        <f>FY!P6</f>
        <v>FY33E</v>
      </c>
      <c r="N5" s="349" t="str">
        <f>FY!Q6</f>
        <v>FY34E</v>
      </c>
      <c r="O5" s="349"/>
      <c r="P5" s="350" t="str">
        <f>P$2</f>
        <v>FY25A</v>
      </c>
      <c r="Q5" s="348" t="str">
        <f>Q$2</f>
        <v>FY26A</v>
      </c>
      <c r="R5" s="351" t="s">
        <v>1265</v>
      </c>
      <c r="S5" s="352" t="str">
        <f>"E&amp;Pe "&amp;S$2</f>
        <v>E&amp;Pe FY26E</v>
      </c>
      <c r="T5" s="351" t="s">
        <v>1266</v>
      </c>
      <c r="U5" s="352" t="str">
        <f>"VA Cons.  "&amp;S$2</f>
        <v>VA Cons.  FY26E</v>
      </c>
      <c r="V5" s="353" t="s">
        <v>1266</v>
      </c>
      <c r="W5" s="354"/>
      <c r="Z5" s="356"/>
      <c r="AA5" s="356"/>
      <c r="AB5" s="356"/>
      <c r="AC5" s="356"/>
      <c r="AD5" s="355" t="s">
        <v>1193</v>
      </c>
      <c r="AE5" s="355" t="s">
        <v>402</v>
      </c>
      <c r="AF5" s="355" t="s">
        <v>3</v>
      </c>
      <c r="AG5" s="355" t="s">
        <v>403</v>
      </c>
      <c r="AH5" s="355" t="s">
        <v>404</v>
      </c>
      <c r="AI5" s="355" t="s">
        <v>405</v>
      </c>
      <c r="AJ5" s="355" t="s">
        <v>1194</v>
      </c>
      <c r="AK5" s="355" t="s">
        <v>1195</v>
      </c>
      <c r="AL5" s="355" t="s">
        <v>1196</v>
      </c>
      <c r="AM5" s="355" t="s">
        <v>1197</v>
      </c>
      <c r="AO5" s="355" t="s">
        <v>1193</v>
      </c>
      <c r="AP5" s="355" t="s">
        <v>402</v>
      </c>
      <c r="AQ5" s="355" t="s">
        <v>3</v>
      </c>
      <c r="AR5" s="355" t="s">
        <v>403</v>
      </c>
      <c r="AS5" s="355" t="s">
        <v>404</v>
      </c>
      <c r="AT5" s="355" t="s">
        <v>405</v>
      </c>
      <c r="AU5" s="355" t="s">
        <v>1194</v>
      </c>
      <c r="AV5" s="355" t="s">
        <v>1195</v>
      </c>
      <c r="AW5" s="355" t="s">
        <v>1196</v>
      </c>
      <c r="AX5" s="355" t="s">
        <v>1197</v>
      </c>
      <c r="AZ5" s="355" t="s">
        <v>1193</v>
      </c>
      <c r="BA5" s="355" t="s">
        <v>402</v>
      </c>
      <c r="BB5" s="355" t="s">
        <v>3</v>
      </c>
      <c r="BC5" s="355" t="s">
        <v>403</v>
      </c>
      <c r="BD5" s="355" t="s">
        <v>404</v>
      </c>
      <c r="BE5" s="355" t="s">
        <v>405</v>
      </c>
      <c r="BF5" s="355" t="s">
        <v>1194</v>
      </c>
      <c r="BG5" s="355" t="s">
        <v>1195</v>
      </c>
      <c r="BH5" s="355" t="s">
        <v>1196</v>
      </c>
      <c r="BI5" s="355" t="s">
        <v>1197</v>
      </c>
    </row>
    <row r="6" spans="1:61" x14ac:dyDescent="0.25">
      <c r="C6" s="511" t="s">
        <v>1289</v>
      </c>
      <c r="D6" s="357"/>
      <c r="E6" s="357"/>
      <c r="F6" s="357"/>
      <c r="G6" s="357"/>
      <c r="H6" s="357"/>
      <c r="I6" s="357"/>
      <c r="J6" s="357"/>
      <c r="K6" s="357"/>
      <c r="L6" s="357"/>
      <c r="M6" s="357"/>
      <c r="N6" s="357"/>
      <c r="O6" s="357"/>
      <c r="P6" s="358"/>
      <c r="Q6" s="357"/>
      <c r="R6" s="359"/>
      <c r="S6" s="358"/>
      <c r="T6" s="359"/>
      <c r="U6" s="358"/>
      <c r="V6" s="359"/>
      <c r="W6" s="357"/>
      <c r="Z6" s="356"/>
      <c r="AA6" s="356"/>
      <c r="AB6" s="356"/>
      <c r="AC6" s="356"/>
    </row>
    <row r="7" spans="1:61" x14ac:dyDescent="0.25">
      <c r="C7" s="509" t="s">
        <v>60</v>
      </c>
      <c r="D7" s="360"/>
      <c r="E7" s="360">
        <f>FY!H68</f>
        <v>134.6</v>
      </c>
      <c r="F7" s="360">
        <f>FY!I68</f>
        <v>145.4</v>
      </c>
      <c r="G7" s="360">
        <f>FY!J68</f>
        <v>166.66483272727277</v>
      </c>
      <c r="H7" s="360">
        <f>FY!K68</f>
        <v>174.99807436363636</v>
      </c>
      <c r="I7" s="360">
        <f>FY!L68</f>
        <v>183.74797808181819</v>
      </c>
      <c r="J7" s="360">
        <f>FY!M68</f>
        <v>192.93537698590916</v>
      </c>
      <c r="K7" s="360">
        <f>FY!N68</f>
        <v>202.58214583520459</v>
      </c>
      <c r="L7" s="360">
        <f>FY!O68</f>
        <v>212.71125312696486</v>
      </c>
      <c r="M7" s="360">
        <f>FY!P68</f>
        <v>223.34681578331308</v>
      </c>
      <c r="N7" s="360">
        <f>FY!Q68</f>
        <v>234.51415657247873</v>
      </c>
      <c r="O7" s="515"/>
      <c r="P7" s="361">
        <f>_xlfn.XLOOKUP(P$2,$E$5:$N$5,$E7:$N7)</f>
        <v>134.6</v>
      </c>
      <c r="Q7" s="360">
        <v>145.4</v>
      </c>
      <c r="R7" s="362">
        <f>Q7/P7-1</f>
        <v>8.0237741456166578E-2</v>
      </c>
      <c r="S7" s="361" t="e">
        <f>_xlfn.XLOOKUP(S$2,$E$5:$N$5,$E7:$N7)</f>
        <v>#N/A</v>
      </c>
      <c r="T7" s="362" t="e">
        <f>$Q7/S7-1</f>
        <v>#N/A</v>
      </c>
      <c r="U7" s="361" t="e">
        <f>_xlfn.XLOOKUP(U$2,$AO$5:$AX$5,$AO7:$AX7)</f>
        <v>#N/A</v>
      </c>
      <c r="V7" s="362" t="e">
        <f>$Q7/U7-1</f>
        <v>#N/A</v>
      </c>
      <c r="W7" s="363"/>
      <c r="X7" s="364"/>
      <c r="Z7" s="365" t="s">
        <v>1225</v>
      </c>
      <c r="AA7" s="365" t="s">
        <v>1290</v>
      </c>
      <c r="AB7" s="366" t="s">
        <v>1231</v>
      </c>
      <c r="AC7" s="366"/>
      <c r="AD7" s="367" t="str">
        <f>_xll.VAData($Z7,AD$5,$AA7,$AB7)</f>
        <v>#NotAvailable</v>
      </c>
      <c r="AE7" s="367" t="str">
        <f>_xll.VAData($Z7,AE$5,$AA7,$AB7)</f>
        <v>#NotAvailable</v>
      </c>
      <c r="AF7" s="367" t="str">
        <f>_xll.VAData($Z7,AF$5,$AA7,$AB7)</f>
        <v>#NotAvailable</v>
      </c>
      <c r="AG7" s="367" t="str">
        <f>_xll.VAData($Z7,AG$5,$AA7,$AB7)</f>
        <v>#NotAvailable</v>
      </c>
      <c r="AH7" s="367" t="str">
        <f>_xll.VAData($Z7,AH$5,$AA7,$AB7)</f>
        <v>#NotAvailable</v>
      </c>
      <c r="AI7" s="367" t="str">
        <f>_xll.VAData($Z7,AI$5,$AA7,$AB7)</f>
        <v>#NotAvailable</v>
      </c>
      <c r="AJ7" s="367" t="str">
        <f>_xll.VAData($Z7,AJ$5,$AA7,$AB7)</f>
        <v>#NotAvailable</v>
      </c>
      <c r="AK7" s="367" t="str">
        <f>_xll.VAData($Z7,AK$5,$AA7,$AB7)</f>
        <v>#NotAvailable</v>
      </c>
      <c r="AL7" s="367" t="str">
        <f>_xll.VAData($Z7,AL$5,$AA7,$AB7)</f>
        <v>#NotAvailable</v>
      </c>
      <c r="AM7" s="367" t="str">
        <f>_xll.VAData($Z7,AM$5,$AA7,$AB7)</f>
        <v>#NotAvailable</v>
      </c>
      <c r="AN7" s="368"/>
      <c r="AO7" s="521">
        <v>670</v>
      </c>
      <c r="AP7" s="521">
        <v>731</v>
      </c>
      <c r="AQ7" s="521">
        <v>731</v>
      </c>
      <c r="AR7" s="521">
        <v>770</v>
      </c>
      <c r="AS7" s="521">
        <v>756</v>
      </c>
      <c r="AT7" s="521">
        <v>818</v>
      </c>
      <c r="AU7" s="521">
        <v>817</v>
      </c>
      <c r="AV7" s="521">
        <v>797</v>
      </c>
      <c r="AW7" s="521">
        <v>774</v>
      </c>
      <c r="AX7" s="521">
        <v>809</v>
      </c>
      <c r="AY7" s="368"/>
      <c r="AZ7" s="523">
        <f t="shared" ref="AZ7:BI9" si="0">E7-AO7</f>
        <v>-535.4</v>
      </c>
      <c r="BA7" s="523">
        <f t="shared" si="0"/>
        <v>-585.6</v>
      </c>
      <c r="BB7" s="523">
        <f t="shared" si="0"/>
        <v>-564.33516727272718</v>
      </c>
      <c r="BC7" s="523">
        <f t="shared" si="0"/>
        <v>-595.00192563636369</v>
      </c>
      <c r="BD7" s="523">
        <f t="shared" si="0"/>
        <v>-572.25202191818175</v>
      </c>
      <c r="BE7" s="523">
        <f t="shared" si="0"/>
        <v>-625.06462301409078</v>
      </c>
      <c r="BF7" s="523">
        <f t="shared" si="0"/>
        <v>-614.41785416479547</v>
      </c>
      <c r="BG7" s="523">
        <f t="shared" si="0"/>
        <v>-584.28874687303517</v>
      </c>
      <c r="BH7" s="523">
        <f t="shared" si="0"/>
        <v>-550.6531842166869</v>
      </c>
      <c r="BI7" s="523">
        <f t="shared" si="0"/>
        <v>-574.48584342752133</v>
      </c>
    </row>
    <row r="8" spans="1:61" x14ac:dyDescent="0.25">
      <c r="C8" s="509" t="s">
        <v>1291</v>
      </c>
      <c r="D8" s="360"/>
      <c r="E8" s="360">
        <f>FY!H75</f>
        <v>7.2</v>
      </c>
      <c r="F8" s="360">
        <f>FY!I75</f>
        <v>-7.1</v>
      </c>
      <c r="G8" s="360">
        <f>FY!J75</f>
        <v>16.471692986595372</v>
      </c>
      <c r="H8" s="360">
        <f>FY!K75</f>
        <v>21.580367708525142</v>
      </c>
      <c r="I8" s="360">
        <f>FY!L75</f>
        <v>25.531053994271389</v>
      </c>
      <c r="J8" s="360">
        <f>FY!M75</f>
        <v>28.423655630834983</v>
      </c>
      <c r="K8" s="360">
        <f>FY!N75</f>
        <v>30.971771014470328</v>
      </c>
      <c r="L8" s="360">
        <f>FY!O75</f>
        <v>32.533472289193867</v>
      </c>
      <c r="M8" s="360">
        <f>FY!P75</f>
        <v>34.173652009373534</v>
      </c>
      <c r="N8" s="360">
        <f>FY!Q75</f>
        <v>35.896245898733802</v>
      </c>
      <c r="O8" s="515"/>
      <c r="P8" s="361">
        <f>_xlfn.XLOOKUP(P$2,$E$5:$N$5,$E8:$N8)</f>
        <v>7.2</v>
      </c>
      <c r="Q8" s="360">
        <v>-7.1</v>
      </c>
      <c r="R8" s="362">
        <f>Q8/P8-1</f>
        <v>-1.9861111111111112</v>
      </c>
      <c r="S8" s="361" t="e">
        <f>_xlfn.XLOOKUP(S$2,$E$5:$N$5,$E8:$N8)</f>
        <v>#N/A</v>
      </c>
      <c r="T8" s="362" t="e">
        <f>$Q8/S8-1</f>
        <v>#N/A</v>
      </c>
      <c r="U8" s="361" t="e">
        <f>_xlfn.XLOOKUP(U$2,$AO$5:$AX$5,$AO8:$AX8)</f>
        <v>#N/A</v>
      </c>
      <c r="V8" s="362" t="e">
        <f>$Q8/U8-1</f>
        <v>#N/A</v>
      </c>
      <c r="W8" s="363"/>
      <c r="X8" s="364"/>
      <c r="Z8" s="365" t="s">
        <v>1225</v>
      </c>
      <c r="AA8" s="365" t="s">
        <v>1237</v>
      </c>
      <c r="AB8" s="366" t="s">
        <v>1231</v>
      </c>
      <c r="AC8" s="366"/>
      <c r="AD8" s="367" t="str">
        <f>_xll.VAData($Z8,AD$5,$AA8,$AB8)</f>
        <v>#NotAvailable</v>
      </c>
      <c r="AE8" s="367" t="str">
        <f>_xll.VAData($Z8,AE$5,$AA8,$AB8)</f>
        <v>#NotAvailable</v>
      </c>
      <c r="AF8" s="367" t="str">
        <f>_xll.VAData($Z8,AF$5,$AA8,$AB8)</f>
        <v>#NotAvailable</v>
      </c>
      <c r="AG8" s="367" t="str">
        <f>_xll.VAData($Z8,AG$5,$AA8,$AB8)</f>
        <v>#NotAvailable</v>
      </c>
      <c r="AH8" s="367" t="str">
        <f>_xll.VAData($Z8,AH$5,$AA8,$AB8)</f>
        <v>#NotAvailable</v>
      </c>
      <c r="AI8" s="367" t="str">
        <f>_xll.VAData($Z8,AI$5,$AA8,$AB8)</f>
        <v>#NotAvailable</v>
      </c>
      <c r="AJ8" s="367" t="str">
        <f>_xll.VAData($Z8,AJ$5,$AA8,$AB8)</f>
        <v>#NotAvailable</v>
      </c>
      <c r="AK8" s="367" t="str">
        <f>_xll.VAData($Z8,AK$5,$AA8,$AB8)</f>
        <v>#NotAvailable</v>
      </c>
      <c r="AL8" s="367" t="str">
        <f>_xll.VAData($Z8,AL$5,$AA8,$AB8)</f>
        <v>#NotAvailable</v>
      </c>
      <c r="AM8" s="367" t="str">
        <f>_xll.VAData($Z8,AM$5,$AA8,$AB8)</f>
        <v>#NotAvailable</v>
      </c>
      <c r="AN8" s="368"/>
      <c r="AO8" s="521">
        <v>249</v>
      </c>
      <c r="AP8" s="521">
        <v>281</v>
      </c>
      <c r="AQ8" s="521">
        <v>286</v>
      </c>
      <c r="AR8" s="521">
        <v>302</v>
      </c>
      <c r="AS8" s="521">
        <v>281</v>
      </c>
      <c r="AT8" s="521">
        <v>330</v>
      </c>
      <c r="AU8" s="521">
        <v>319</v>
      </c>
      <c r="AV8" s="521">
        <v>315</v>
      </c>
      <c r="AW8" s="521">
        <v>311</v>
      </c>
      <c r="AX8" s="521">
        <v>352</v>
      </c>
      <c r="AY8" s="368"/>
      <c r="AZ8" s="523">
        <f t="shared" si="0"/>
        <v>-241.8</v>
      </c>
      <c r="BA8" s="523">
        <f t="shared" si="0"/>
        <v>-288.10000000000002</v>
      </c>
      <c r="BB8" s="523">
        <f t="shared" si="0"/>
        <v>-269.52830701340463</v>
      </c>
      <c r="BC8" s="523">
        <f t="shared" si="0"/>
        <v>-280.41963229147484</v>
      </c>
      <c r="BD8" s="523">
        <f t="shared" si="0"/>
        <v>-255.46894600572861</v>
      </c>
      <c r="BE8" s="523">
        <f t="shared" si="0"/>
        <v>-301.57634436916504</v>
      </c>
      <c r="BF8" s="523">
        <f t="shared" si="0"/>
        <v>-288.02822898552967</v>
      </c>
      <c r="BG8" s="523">
        <f t="shared" si="0"/>
        <v>-282.46652771080613</v>
      </c>
      <c r="BH8" s="523">
        <f t="shared" si="0"/>
        <v>-276.82634799062646</v>
      </c>
      <c r="BI8" s="523">
        <f t="shared" si="0"/>
        <v>-316.10375410126619</v>
      </c>
    </row>
    <row r="9" spans="1:61" x14ac:dyDescent="0.25">
      <c r="C9" s="509" t="s">
        <v>84</v>
      </c>
      <c r="D9" s="360"/>
      <c r="E9" s="360">
        <f>FY!H82</f>
        <v>4.8</v>
      </c>
      <c r="F9" s="360">
        <f>FY!I82</f>
        <v>-20.7</v>
      </c>
      <c r="G9" s="360">
        <f>FY!J82</f>
        <v>3.6193085339701412</v>
      </c>
      <c r="H9" s="360">
        <f>FY!K82</f>
        <v>6.5389652960691036</v>
      </c>
      <c r="I9" s="360">
        <f>FY!L82</f>
        <v>8.6409051703592379</v>
      </c>
      <c r="J9" s="360">
        <f>FY!M82</f>
        <v>10.712787669571457</v>
      </c>
      <c r="K9" s="360">
        <f>FY!N82</f>
        <v>12.619120494971572</v>
      </c>
      <c r="L9" s="360">
        <f>FY!O82</f>
        <v>13.782771919630491</v>
      </c>
      <c r="M9" s="360">
        <f>FY!P82</f>
        <v>14.964467717967109</v>
      </c>
      <c r="N9" s="360">
        <f>FY!Q82</f>
        <v>16.16350819361967</v>
      </c>
      <c r="O9" s="515"/>
      <c r="P9" s="361">
        <f>_xlfn.XLOOKUP(P$2,$E$5:$N$5,$E9:$N9)</f>
        <v>4.8</v>
      </c>
      <c r="Q9" s="360">
        <v>-20.7</v>
      </c>
      <c r="R9" s="362">
        <f>Q9/P9-1</f>
        <v>-5.3125</v>
      </c>
      <c r="S9" s="361" t="e">
        <f>_xlfn.XLOOKUP(S$2,$E$5:$N$5,$E9:$N9)</f>
        <v>#N/A</v>
      </c>
      <c r="T9" s="362" t="e">
        <f>$Q9/S9-1</f>
        <v>#N/A</v>
      </c>
      <c r="U9" s="361" t="e">
        <f>_xlfn.XLOOKUP(U$2,$AO$5:$AX$5,$AO9:$AX9)</f>
        <v>#N/A</v>
      </c>
      <c r="V9" s="362" t="e">
        <f>$Q9/U9-1</f>
        <v>#N/A</v>
      </c>
      <c r="W9" s="363"/>
      <c r="X9" s="364"/>
      <c r="Z9" s="365" t="s">
        <v>1225</v>
      </c>
      <c r="AA9" s="365" t="s">
        <v>1293</v>
      </c>
      <c r="AB9" s="366" t="s">
        <v>1231</v>
      </c>
      <c r="AC9" s="366"/>
      <c r="AD9" s="367" t="str">
        <f>_xll.VAData($Z9,AD$5,$AA9,$AB9)</f>
        <v>#NotAvailable</v>
      </c>
      <c r="AE9" s="367" t="str">
        <f>_xll.VAData($Z9,AE$5,$AA9,$AB9)</f>
        <v>#NotAvailable</v>
      </c>
      <c r="AF9" s="367" t="str">
        <f>_xll.VAData($Z9,AF$5,$AA9,$AB9)</f>
        <v>#NotAvailable</v>
      </c>
      <c r="AG9" s="367" t="str">
        <f>_xll.VAData($Z9,AG$5,$AA9,$AB9)</f>
        <v>#NotAvailable</v>
      </c>
      <c r="AH9" s="367" t="str">
        <f>_xll.VAData($Z9,AH$5,$AA9,$AB9)</f>
        <v>#NotAvailable</v>
      </c>
      <c r="AI9" s="367" t="str">
        <f>_xll.VAData($Z9,AI$5,$AA9,$AB9)</f>
        <v>#NotAvailable</v>
      </c>
      <c r="AJ9" s="367" t="str">
        <f>_xll.VAData($Z9,AJ$5,$AA9,$AB9)</f>
        <v>#NotAvailable</v>
      </c>
      <c r="AK9" s="367" t="str">
        <f>_xll.VAData($Z9,AK$5,$AA9,$AB9)</f>
        <v>#NotAvailable</v>
      </c>
      <c r="AL9" s="367" t="str">
        <f>_xll.VAData($Z9,AL$5,$AA9,$AB9)</f>
        <v>#NotAvailable</v>
      </c>
      <c r="AM9" s="367" t="str">
        <f>_xll.VAData($Z9,AM$5,$AA9,$AB9)</f>
        <v>#NotAvailable</v>
      </c>
      <c r="AN9" s="368"/>
      <c r="AO9" s="521">
        <v>86</v>
      </c>
      <c r="AP9" s="521">
        <v>93</v>
      </c>
      <c r="AQ9" s="521">
        <v>99</v>
      </c>
      <c r="AR9" s="521">
        <v>109</v>
      </c>
      <c r="AS9" s="521">
        <v>105</v>
      </c>
      <c r="AT9" s="521">
        <v>130</v>
      </c>
      <c r="AU9" s="521">
        <v>122</v>
      </c>
      <c r="AV9" s="521">
        <v>127</v>
      </c>
      <c r="AW9" s="521">
        <v>117</v>
      </c>
      <c r="AX9" s="521">
        <v>135</v>
      </c>
      <c r="AY9" s="368"/>
      <c r="AZ9" s="523">
        <f t="shared" si="0"/>
        <v>-81.2</v>
      </c>
      <c r="BA9" s="523">
        <f t="shared" si="0"/>
        <v>-113.7</v>
      </c>
      <c r="BB9" s="523">
        <f t="shared" si="0"/>
        <v>-95.380691466029859</v>
      </c>
      <c r="BC9" s="523">
        <f t="shared" si="0"/>
        <v>-102.46103470393089</v>
      </c>
      <c r="BD9" s="523">
        <f t="shared" si="0"/>
        <v>-96.359094829640767</v>
      </c>
      <c r="BE9" s="523">
        <f t="shared" si="0"/>
        <v>-119.28721233042855</v>
      </c>
      <c r="BF9" s="523">
        <f t="shared" si="0"/>
        <v>-109.38087950502843</v>
      </c>
      <c r="BG9" s="523">
        <f t="shared" si="0"/>
        <v>-113.21722808036951</v>
      </c>
      <c r="BH9" s="523">
        <f t="shared" si="0"/>
        <v>-102.03553228203289</v>
      </c>
      <c r="BI9" s="523">
        <f t="shared" si="0"/>
        <v>-118.83649180638034</v>
      </c>
    </row>
    <row r="10" spans="1:61" x14ac:dyDescent="0.25">
      <c r="C10" s="512"/>
      <c r="D10" s="360"/>
      <c r="E10" s="360"/>
      <c r="F10" s="360"/>
      <c r="G10" s="360"/>
      <c r="H10" s="360"/>
      <c r="I10" s="360"/>
      <c r="J10" s="360"/>
      <c r="K10" s="360"/>
      <c r="L10" s="360"/>
      <c r="M10" s="360"/>
      <c r="N10" s="360"/>
      <c r="O10" s="360"/>
      <c r="P10" s="514"/>
      <c r="Q10" s="513"/>
      <c r="R10" s="362"/>
      <c r="S10" s="514"/>
      <c r="T10" s="362"/>
      <c r="U10" s="514"/>
      <c r="V10" s="362"/>
      <c r="W10" s="363"/>
      <c r="X10" s="364"/>
      <c r="AO10" s="369"/>
      <c r="AP10" s="369"/>
      <c r="AQ10" s="369"/>
      <c r="AR10" s="369"/>
      <c r="AS10" s="369"/>
      <c r="AT10" s="369"/>
      <c r="AU10" s="369"/>
      <c r="AV10" s="369"/>
      <c r="AW10" s="369"/>
      <c r="AX10" s="369"/>
      <c r="AZ10" s="369"/>
      <c r="BA10" s="369"/>
      <c r="BB10" s="369"/>
      <c r="BC10" s="369"/>
      <c r="BD10" s="369"/>
      <c r="BE10" s="369"/>
      <c r="BF10" s="369"/>
      <c r="BG10" s="369"/>
      <c r="BH10" s="369"/>
      <c r="BI10" s="369"/>
    </row>
    <row r="11" spans="1:61" x14ac:dyDescent="0.25">
      <c r="C11" s="508" t="s">
        <v>1294</v>
      </c>
      <c r="D11" s="360"/>
      <c r="E11" s="360"/>
      <c r="F11" s="360"/>
      <c r="G11" s="360"/>
      <c r="H11" s="360"/>
      <c r="I11" s="360"/>
      <c r="J11" s="360"/>
      <c r="K11" s="360"/>
      <c r="L11" s="360"/>
      <c r="M11" s="360"/>
      <c r="N11" s="360"/>
      <c r="O11" s="360"/>
      <c r="P11" s="514"/>
      <c r="Q11" s="513"/>
      <c r="R11" s="362"/>
      <c r="S11" s="514"/>
      <c r="T11" s="362"/>
      <c r="U11" s="514"/>
      <c r="V11" s="362"/>
      <c r="W11" s="363"/>
      <c r="X11" s="364"/>
      <c r="AO11" s="369"/>
      <c r="AP11" s="369"/>
      <c r="AQ11" s="369"/>
      <c r="AR11" s="369"/>
      <c r="AS11" s="369"/>
      <c r="AT11" s="369"/>
      <c r="AU11" s="369"/>
      <c r="AV11" s="369"/>
      <c r="AW11" s="369"/>
      <c r="AX11" s="369"/>
      <c r="AZ11" s="369"/>
      <c r="BA11" s="369"/>
      <c r="BB11" s="369"/>
      <c r="BC11" s="369"/>
      <c r="BD11" s="369"/>
      <c r="BE11" s="369"/>
      <c r="BF11" s="369"/>
      <c r="BG11" s="369"/>
      <c r="BH11" s="369"/>
      <c r="BI11" s="369"/>
    </row>
    <row r="12" spans="1:61" x14ac:dyDescent="0.25">
      <c r="C12" s="509" t="s">
        <v>35</v>
      </c>
      <c r="D12" s="360"/>
      <c r="E12" s="360">
        <f>FY!H12</f>
        <v>1420.4</v>
      </c>
      <c r="F12" s="360">
        <f>FY!I12</f>
        <v>1594.7</v>
      </c>
      <c r="G12" s="360">
        <f>FY!J12</f>
        <v>1722.674</v>
      </c>
      <c r="H12" s="360">
        <f>FY!K12</f>
        <v>1808.8077000000003</v>
      </c>
      <c r="I12" s="360">
        <f>FY!L12</f>
        <v>1899.2480850000002</v>
      </c>
      <c r="J12" s="360">
        <f>FY!M12</f>
        <v>1994.2104892500006</v>
      </c>
      <c r="K12" s="360">
        <f>FY!N12</f>
        <v>2093.9210137125006</v>
      </c>
      <c r="L12" s="360">
        <f>FY!O12</f>
        <v>2198.6170643981259</v>
      </c>
      <c r="M12" s="360">
        <f>FY!P12</f>
        <v>2308.547917618032</v>
      </c>
      <c r="N12" s="360">
        <f>FY!Q12</f>
        <v>2423.9753134989337</v>
      </c>
      <c r="O12" s="360"/>
      <c r="P12" s="361">
        <f>_xlfn.SINGLE(_xlfn.XLOOKUP(P$2,$E$5:$N$5,$E12:$N12))</f>
        <v>1420.4</v>
      </c>
      <c r="Q12" s="360">
        <v>1594.7</v>
      </c>
      <c r="R12" s="362">
        <f>Q12/P12-1</f>
        <v>0.12271191213742605</v>
      </c>
      <c r="S12" s="361" t="e">
        <f t="shared" ref="S12:S13" si="1">_xlfn.XLOOKUP(S$2,$E$5:$N$5,$E12:$N12)</f>
        <v>#N/A</v>
      </c>
      <c r="T12" s="362" t="e">
        <f t="shared" ref="T12:T13" si="2">$Q12/S12-1</f>
        <v>#N/A</v>
      </c>
      <c r="U12" s="361"/>
      <c r="V12" s="362"/>
      <c r="W12" s="363"/>
      <c r="X12" s="364"/>
      <c r="AO12" s="369"/>
      <c r="AP12" s="369"/>
      <c r="AQ12" s="369"/>
      <c r="AR12" s="369"/>
      <c r="AS12" s="369"/>
      <c r="AT12" s="369"/>
      <c r="AU12" s="369"/>
      <c r="AV12" s="369"/>
      <c r="AW12" s="369"/>
      <c r="AX12" s="369"/>
      <c r="AZ12" s="369"/>
      <c r="BA12" s="369"/>
      <c r="BB12" s="369"/>
      <c r="BC12" s="369"/>
      <c r="BD12" s="369"/>
      <c r="BE12" s="369"/>
      <c r="BF12" s="369"/>
      <c r="BG12" s="369"/>
      <c r="BH12" s="369"/>
      <c r="BI12" s="369"/>
    </row>
    <row r="13" spans="1:61" x14ac:dyDescent="0.25">
      <c r="C13" s="509" t="s">
        <v>42</v>
      </c>
      <c r="D13" s="360"/>
      <c r="E13" s="360">
        <f>FY!H14</f>
        <v>196.2</v>
      </c>
      <c r="F13" s="360">
        <f>FY!I14</f>
        <v>215.7</v>
      </c>
      <c r="G13" s="360">
        <f>FY!J14</f>
        <v>242.95042000000001</v>
      </c>
      <c r="H13" s="360">
        <f>FY!K14</f>
        <v>255.09794100000005</v>
      </c>
      <c r="I13" s="360">
        <f>FY!L14</f>
        <v>267.85283805000006</v>
      </c>
      <c r="J13" s="360">
        <f>FY!M14</f>
        <v>281.24547995250009</v>
      </c>
      <c r="K13" s="360">
        <f>FY!N14</f>
        <v>295.30775395012506</v>
      </c>
      <c r="L13" s="360">
        <f>FY!O14</f>
        <v>310.07314164763136</v>
      </c>
      <c r="M13" s="360">
        <f>FY!P14</f>
        <v>325.57679873001291</v>
      </c>
      <c r="N13" s="360">
        <f>FY!Q14</f>
        <v>341.85563866651358</v>
      </c>
      <c r="O13" s="360"/>
      <c r="P13" s="361">
        <f>_xlfn.SINGLE(_xlfn.XLOOKUP(P$2,$E$5:$N$5,$E13:$N13))</f>
        <v>196.2</v>
      </c>
      <c r="Q13" s="360">
        <v>215.7</v>
      </c>
      <c r="R13" s="362">
        <f>Q13/P13-1</f>
        <v>9.9388379204893074E-2</v>
      </c>
      <c r="S13" s="361" t="e">
        <f t="shared" si="1"/>
        <v>#N/A</v>
      </c>
      <c r="T13" s="362" t="e">
        <f t="shared" si="2"/>
        <v>#N/A</v>
      </c>
      <c r="U13" s="361"/>
      <c r="V13" s="362"/>
      <c r="W13" s="363"/>
      <c r="X13" s="364"/>
      <c r="AO13" s="369"/>
      <c r="AP13" s="369"/>
      <c r="AQ13" s="369"/>
      <c r="AR13" s="369"/>
      <c r="AS13" s="369"/>
      <c r="AT13" s="369"/>
      <c r="AU13" s="369"/>
      <c r="AV13" s="369"/>
      <c r="AW13" s="369"/>
      <c r="AX13" s="369"/>
      <c r="AZ13" s="369"/>
      <c r="BA13" s="369"/>
      <c r="BB13" s="369"/>
      <c r="BC13" s="369"/>
      <c r="BD13" s="369"/>
      <c r="BE13" s="369"/>
      <c r="BF13" s="369"/>
      <c r="BG13" s="369"/>
      <c r="BH13" s="369"/>
      <c r="BI13" s="369"/>
    </row>
    <row r="14" spans="1:61" x14ac:dyDescent="0.25">
      <c r="C14" s="510" t="s">
        <v>1295</v>
      </c>
      <c r="E14" s="517">
        <f t="shared" ref="E14:N14" si="3">E13/E12</f>
        <v>0.13813010419600111</v>
      </c>
      <c r="F14" s="517">
        <f t="shared" si="3"/>
        <v>0.13526055057377562</v>
      </c>
      <c r="G14" s="517">
        <f t="shared" si="3"/>
        <v>0.14103099019315321</v>
      </c>
      <c r="H14" s="517">
        <f t="shared" si="3"/>
        <v>0.14103099019315321</v>
      </c>
      <c r="I14" s="517">
        <f t="shared" si="3"/>
        <v>0.14103099019315321</v>
      </c>
      <c r="J14" s="517">
        <f t="shared" si="3"/>
        <v>0.14103099019315321</v>
      </c>
      <c r="K14" s="517">
        <f t="shared" si="3"/>
        <v>0.14103099019315318</v>
      </c>
      <c r="L14" s="517">
        <f t="shared" si="3"/>
        <v>0.14103099019315318</v>
      </c>
      <c r="M14" s="517">
        <f t="shared" si="3"/>
        <v>0.14103099019315321</v>
      </c>
      <c r="N14" s="517">
        <f t="shared" si="3"/>
        <v>0.14103099019315321</v>
      </c>
      <c r="P14" s="519">
        <f>_xlfn.XLOOKUP(P$2,$E$5:$N$5,$E14:$N14)</f>
        <v>0.13813010419600111</v>
      </c>
      <c r="Q14" s="517">
        <v>0.13500000000000001</v>
      </c>
      <c r="R14" s="518">
        <f>(Q14-P14)*100</f>
        <v>-0.31301041960010989</v>
      </c>
      <c r="S14" s="519" t="e">
        <f>_xlfn.XLOOKUP(S$2,$E$5:$N$5,$E14:$N14)</f>
        <v>#N/A</v>
      </c>
      <c r="T14" s="518" t="e">
        <f>($Q14-S14)*100</f>
        <v>#N/A</v>
      </c>
      <c r="U14" s="519" t="e">
        <f>_xlfn.XLOOKUP(U$2,$AO$5:$AX$5,$AO14:$AX14)</f>
        <v>#N/A</v>
      </c>
      <c r="V14" s="518" t="e">
        <f>($Q14-U14)*100</f>
        <v>#N/A</v>
      </c>
      <c r="AD14" s="520" t="e">
        <f t="shared" ref="AD14:AM14" si="4">AD8/AD3</f>
        <v>#VALUE!</v>
      </c>
      <c r="AE14" s="520" t="e">
        <f t="shared" si="4"/>
        <v>#VALUE!</v>
      </c>
      <c r="AF14" s="520" t="e">
        <f t="shared" si="4"/>
        <v>#VALUE!</v>
      </c>
      <c r="AG14" s="520" t="e">
        <f t="shared" si="4"/>
        <v>#VALUE!</v>
      </c>
      <c r="AH14" s="520" t="e">
        <f t="shared" si="4"/>
        <v>#VALUE!</v>
      </c>
      <c r="AI14" s="520" t="e">
        <f t="shared" si="4"/>
        <v>#VALUE!</v>
      </c>
      <c r="AJ14" s="520" t="e">
        <f t="shared" si="4"/>
        <v>#VALUE!</v>
      </c>
      <c r="AK14" s="520" t="e">
        <f t="shared" si="4"/>
        <v>#VALUE!</v>
      </c>
      <c r="AL14" s="520" t="e">
        <f t="shared" si="4"/>
        <v>#VALUE!</v>
      </c>
      <c r="AM14" s="520" t="e">
        <f t="shared" si="4"/>
        <v>#VALUE!</v>
      </c>
      <c r="AO14" s="522">
        <v>0.49164677804295942</v>
      </c>
      <c r="AP14" s="522">
        <v>0.49469214437367298</v>
      </c>
      <c r="AQ14" s="522">
        <v>0.5053763440860215</v>
      </c>
      <c r="AR14" s="522">
        <v>0.49395161290322581</v>
      </c>
      <c r="AS14" s="522">
        <v>0.48739495798319332</v>
      </c>
      <c r="AT14" s="522">
        <v>0.50463821892393323</v>
      </c>
      <c r="AU14" s="522">
        <v>0.4972067039106145</v>
      </c>
      <c r="AV14" s="522">
        <v>0.49902912621359219</v>
      </c>
      <c r="AW14" s="522">
        <v>0.5131313131313131</v>
      </c>
      <c r="AX14" s="522">
        <v>0.53030303030303028</v>
      </c>
      <c r="AZ14" s="524">
        <f t="shared" ref="AZ14:BI14" si="5">E14-AO14</f>
        <v>-0.35351667384695828</v>
      </c>
      <c r="BA14" s="524">
        <f t="shared" si="5"/>
        <v>-0.35943159379989736</v>
      </c>
      <c r="BB14" s="524">
        <f t="shared" si="5"/>
        <v>-0.36434535389286826</v>
      </c>
      <c r="BC14" s="524">
        <f t="shared" si="5"/>
        <v>-0.35292062271007263</v>
      </c>
      <c r="BD14" s="524">
        <f t="shared" si="5"/>
        <v>-0.34636396779004008</v>
      </c>
      <c r="BE14" s="524">
        <f t="shared" si="5"/>
        <v>-0.36360722873078</v>
      </c>
      <c r="BF14" s="524">
        <f t="shared" si="5"/>
        <v>-0.35617571371746132</v>
      </c>
      <c r="BG14" s="524">
        <f t="shared" si="5"/>
        <v>-0.35799813602043901</v>
      </c>
      <c r="BH14" s="524">
        <f t="shared" si="5"/>
        <v>-0.37210032293815987</v>
      </c>
      <c r="BI14" s="524">
        <f t="shared" si="5"/>
        <v>-0.38927204010987704</v>
      </c>
    </row>
    <row r="15" spans="1:61" x14ac:dyDescent="0.25">
      <c r="C15" s="509" t="s">
        <v>43</v>
      </c>
      <c r="D15" s="360"/>
      <c r="E15" s="360">
        <f>FY!H20</f>
        <v>147.80000000000001</v>
      </c>
      <c r="F15" s="360">
        <f>FY!I20</f>
        <v>158.1</v>
      </c>
      <c r="G15" s="360">
        <f>FY!J20</f>
        <v>183.33131600000002</v>
      </c>
      <c r="H15" s="360">
        <f>FY!K20</f>
        <v>192.49788180000002</v>
      </c>
      <c r="I15" s="360">
        <f>FY!L20</f>
        <v>202.12277589000001</v>
      </c>
      <c r="J15" s="360">
        <f>FY!M20</f>
        <v>212.22891468450007</v>
      </c>
      <c r="K15" s="360">
        <f>FY!N20</f>
        <v>222.84036041872503</v>
      </c>
      <c r="L15" s="360">
        <f>FY!O20</f>
        <v>233.98237843966135</v>
      </c>
      <c r="M15" s="360">
        <f>FY!P20</f>
        <v>245.6814973616444</v>
      </c>
      <c r="N15" s="360">
        <f>FY!Q20</f>
        <v>257.9655722297266</v>
      </c>
      <c r="O15" s="360"/>
      <c r="P15" s="361">
        <f>_xlfn.SINGLE(_xlfn.XLOOKUP(P$2,$E$5:$N$5,$E15:$N15))</f>
        <v>147.80000000000001</v>
      </c>
      <c r="Q15" s="360">
        <v>158.1</v>
      </c>
      <c r="R15" s="362">
        <f>Q15/P15-1</f>
        <v>6.9688768606224416E-2</v>
      </c>
      <c r="S15" s="361" t="e">
        <f>_xlfn.XLOOKUP(S$2,$E$5:$N$5,$E15:$N15)</f>
        <v>#N/A</v>
      </c>
      <c r="T15" s="362" t="e">
        <f>$Q15/S15-1</f>
        <v>#N/A</v>
      </c>
      <c r="U15" s="361"/>
      <c r="V15" s="362"/>
      <c r="W15" s="363"/>
      <c r="X15" s="364"/>
      <c r="AO15" s="369"/>
      <c r="AP15" s="369"/>
      <c r="AQ15" s="369"/>
      <c r="AR15" s="369"/>
      <c r="AS15" s="369"/>
      <c r="AT15" s="369"/>
      <c r="AU15" s="369"/>
      <c r="AV15" s="369"/>
      <c r="AW15" s="369"/>
      <c r="AX15" s="369"/>
      <c r="AZ15" s="369"/>
      <c r="BA15" s="369"/>
      <c r="BB15" s="369"/>
      <c r="BC15" s="369"/>
      <c r="BD15" s="369"/>
      <c r="BE15" s="369"/>
      <c r="BF15" s="369"/>
      <c r="BG15" s="369"/>
      <c r="BH15" s="369"/>
      <c r="BI15" s="369"/>
    </row>
    <row r="16" spans="1:61" x14ac:dyDescent="0.25">
      <c r="C16" s="510" t="s">
        <v>1296</v>
      </c>
      <c r="E16" s="517">
        <f t="shared" ref="E16:N16" si="6">E15/E12</f>
        <v>0.10405519571951563</v>
      </c>
      <c r="F16" s="517">
        <f t="shared" si="6"/>
        <v>9.9140904245312592E-2</v>
      </c>
      <c r="G16" s="517">
        <f t="shared" si="6"/>
        <v>0.10642252451711701</v>
      </c>
      <c r="H16" s="517">
        <f t="shared" si="6"/>
        <v>0.10642252451711698</v>
      </c>
      <c r="I16" s="517">
        <f t="shared" si="6"/>
        <v>0.10642252451711699</v>
      </c>
      <c r="J16" s="517">
        <f t="shared" si="6"/>
        <v>0.10642252451711699</v>
      </c>
      <c r="K16" s="517">
        <f t="shared" si="6"/>
        <v>0.10642252451711698</v>
      </c>
      <c r="L16" s="517">
        <f t="shared" si="6"/>
        <v>0.10642252451711699</v>
      </c>
      <c r="M16" s="517">
        <f t="shared" si="6"/>
        <v>0.10642252451711699</v>
      </c>
      <c r="N16" s="517">
        <f t="shared" si="6"/>
        <v>0.10642252451711699</v>
      </c>
      <c r="P16" s="519">
        <f>_xlfn.XLOOKUP(P$2,$E$5:$N$5,$E16:$N16)</f>
        <v>0.10405519571951563</v>
      </c>
      <c r="Q16" s="517">
        <v>9.9000000000000005E-2</v>
      </c>
      <c r="R16" s="518">
        <f>(Q16-P16)*100</f>
        <v>-0.50551957195156261</v>
      </c>
      <c r="S16" s="519" t="e">
        <f>_xlfn.XLOOKUP(S$2,$E$5:$N$5,$E16:$N16)</f>
        <v>#N/A</v>
      </c>
      <c r="T16" s="518" t="e">
        <f>($Q16-S16)*100</f>
        <v>#N/A</v>
      </c>
      <c r="U16" s="519" t="e">
        <f>_xlfn.XLOOKUP(U$2,$AO$5:$AX$5,$AO16:$AX16)</f>
        <v>#N/A</v>
      </c>
      <c r="V16" s="518" t="e">
        <f>($Q16-U16)*100</f>
        <v>#N/A</v>
      </c>
      <c r="AD16" s="520" t="e">
        <f t="shared" ref="AD16:AM16" si="7">AD10/AD5</f>
        <v>#VALUE!</v>
      </c>
      <c r="AE16" s="520" t="e">
        <f t="shared" si="7"/>
        <v>#VALUE!</v>
      </c>
      <c r="AF16" s="520" t="e">
        <f t="shared" si="7"/>
        <v>#VALUE!</v>
      </c>
      <c r="AG16" s="520" t="e">
        <f t="shared" si="7"/>
        <v>#VALUE!</v>
      </c>
      <c r="AH16" s="520" t="e">
        <f t="shared" si="7"/>
        <v>#VALUE!</v>
      </c>
      <c r="AI16" s="520" t="e">
        <f t="shared" si="7"/>
        <v>#VALUE!</v>
      </c>
      <c r="AJ16" s="520" t="e">
        <f t="shared" si="7"/>
        <v>#VALUE!</v>
      </c>
      <c r="AK16" s="520" t="e">
        <f t="shared" si="7"/>
        <v>#VALUE!</v>
      </c>
      <c r="AL16" s="520" t="e">
        <f t="shared" si="7"/>
        <v>#VALUE!</v>
      </c>
      <c r="AM16" s="520" t="e">
        <f t="shared" si="7"/>
        <v>#VALUE!</v>
      </c>
      <c r="AO16" s="522">
        <v>0.49164677804295942</v>
      </c>
      <c r="AP16" s="522">
        <v>0.49469214437367298</v>
      </c>
      <c r="AQ16" s="522">
        <v>0.5053763440860215</v>
      </c>
      <c r="AR16" s="522">
        <v>0.49395161290322581</v>
      </c>
      <c r="AS16" s="522">
        <v>0.48739495798319332</v>
      </c>
      <c r="AT16" s="522">
        <v>0.50463821892393323</v>
      </c>
      <c r="AU16" s="522">
        <v>0.4972067039106145</v>
      </c>
      <c r="AV16" s="522">
        <v>0.49902912621359219</v>
      </c>
      <c r="AW16" s="522">
        <v>0.5131313131313131</v>
      </c>
      <c r="AX16" s="522">
        <v>0.53030303030303028</v>
      </c>
      <c r="AZ16" s="524">
        <f t="shared" ref="AZ16:BI16" si="8">E16-AO16</f>
        <v>-0.38759158232344382</v>
      </c>
      <c r="BA16" s="524">
        <f t="shared" si="8"/>
        <v>-0.3955512401283604</v>
      </c>
      <c r="BB16" s="524">
        <f t="shared" si="8"/>
        <v>-0.39895381956890452</v>
      </c>
      <c r="BC16" s="524">
        <f t="shared" si="8"/>
        <v>-0.38752908838610883</v>
      </c>
      <c r="BD16" s="524">
        <f t="shared" si="8"/>
        <v>-0.38097243346607634</v>
      </c>
      <c r="BE16" s="524">
        <f t="shared" si="8"/>
        <v>-0.39821569440681626</v>
      </c>
      <c r="BF16" s="524">
        <f t="shared" si="8"/>
        <v>-0.39078417939349752</v>
      </c>
      <c r="BG16" s="524">
        <f t="shared" si="8"/>
        <v>-0.39260660169647521</v>
      </c>
      <c r="BH16" s="524">
        <f t="shared" si="8"/>
        <v>-0.40670878861419613</v>
      </c>
      <c r="BI16" s="524">
        <f t="shared" si="8"/>
        <v>-0.4238805057859133</v>
      </c>
    </row>
    <row r="17" spans="1:61" x14ac:dyDescent="0.25">
      <c r="C17" s="512"/>
      <c r="D17" s="360"/>
      <c r="E17" s="360"/>
      <c r="F17" s="360"/>
      <c r="G17" s="360"/>
      <c r="H17" s="360"/>
      <c r="I17" s="360"/>
      <c r="J17" s="360"/>
      <c r="K17" s="360"/>
      <c r="L17" s="360"/>
      <c r="M17" s="360"/>
      <c r="N17" s="360"/>
      <c r="O17" s="360"/>
      <c r="P17" s="514"/>
      <c r="Q17" s="513"/>
      <c r="R17" s="362"/>
      <c r="S17" s="514"/>
      <c r="T17" s="362"/>
      <c r="U17" s="514"/>
      <c r="V17" s="362"/>
      <c r="W17" s="363"/>
      <c r="X17" s="364"/>
      <c r="AO17" s="369"/>
      <c r="AP17" s="369"/>
      <c r="AQ17" s="369"/>
      <c r="AR17" s="369"/>
      <c r="AS17" s="369"/>
      <c r="AT17" s="369"/>
      <c r="AU17" s="369"/>
      <c r="AV17" s="369"/>
      <c r="AW17" s="369"/>
      <c r="AX17" s="369"/>
      <c r="AZ17" s="369"/>
      <c r="BA17" s="369"/>
      <c r="BB17" s="369"/>
      <c r="BC17" s="369"/>
      <c r="BD17" s="369"/>
      <c r="BE17" s="369"/>
      <c r="BF17" s="369"/>
      <c r="BG17" s="369"/>
      <c r="BH17" s="369"/>
      <c r="BI17" s="369"/>
    </row>
    <row r="18" spans="1:61" x14ac:dyDescent="0.25">
      <c r="C18" s="512"/>
      <c r="D18" s="360"/>
      <c r="E18" s="360"/>
      <c r="F18" s="360"/>
      <c r="G18" s="360"/>
      <c r="H18" s="360"/>
      <c r="I18" s="360"/>
      <c r="J18" s="360"/>
      <c r="K18" s="360"/>
      <c r="L18" s="360"/>
      <c r="M18" s="360"/>
      <c r="N18" s="360"/>
      <c r="O18" s="360"/>
      <c r="P18" s="514"/>
      <c r="Q18" s="513"/>
      <c r="R18" s="362"/>
      <c r="S18" s="514"/>
      <c r="T18" s="362"/>
      <c r="U18" s="514"/>
      <c r="V18" s="362"/>
      <c r="W18" s="363"/>
      <c r="X18" s="364"/>
      <c r="AO18" s="369"/>
      <c r="AP18" s="369"/>
      <c r="AQ18" s="369"/>
      <c r="AR18" s="369"/>
      <c r="AS18" s="369"/>
      <c r="AT18" s="369"/>
      <c r="AU18" s="369"/>
      <c r="AV18" s="369"/>
      <c r="AW18" s="369"/>
      <c r="AX18" s="369"/>
      <c r="AZ18" s="369"/>
      <c r="BA18" s="369"/>
      <c r="BB18" s="369"/>
      <c r="BC18" s="369"/>
      <c r="BD18" s="369"/>
      <c r="BE18" s="369"/>
      <c r="BF18" s="369"/>
      <c r="BG18" s="369"/>
      <c r="BH18" s="369"/>
      <c r="BI18" s="369"/>
    </row>
    <row r="19" spans="1:61" x14ac:dyDescent="0.25">
      <c r="C19" s="512"/>
      <c r="D19" s="360"/>
      <c r="E19" s="360"/>
      <c r="F19" s="360"/>
      <c r="G19" s="360"/>
      <c r="H19" s="360"/>
      <c r="I19" s="360"/>
      <c r="J19" s="360"/>
      <c r="K19" s="360"/>
      <c r="L19" s="360"/>
      <c r="M19" s="360"/>
      <c r="N19" s="360"/>
      <c r="O19" s="360"/>
      <c r="P19" s="514"/>
      <c r="Q19" s="513"/>
      <c r="R19" s="362"/>
      <c r="S19" s="514"/>
      <c r="T19" s="362"/>
      <c r="U19" s="514"/>
      <c r="V19" s="362"/>
      <c r="W19" s="363"/>
      <c r="X19" s="364"/>
      <c r="AO19" s="369"/>
      <c r="AP19" s="369"/>
      <c r="AQ19" s="369"/>
      <c r="AR19" s="369"/>
      <c r="AS19" s="369"/>
      <c r="AT19" s="369"/>
      <c r="AU19" s="369"/>
      <c r="AV19" s="369"/>
      <c r="AW19" s="369"/>
      <c r="AX19" s="369"/>
      <c r="AZ19" s="369"/>
      <c r="BA19" s="369"/>
      <c r="BB19" s="369"/>
      <c r="BC19" s="369"/>
      <c r="BD19" s="369"/>
      <c r="BE19" s="369"/>
      <c r="BF19" s="369"/>
      <c r="BG19" s="369"/>
      <c r="BH19" s="369"/>
      <c r="BI19" s="369"/>
    </row>
    <row r="20" spans="1:61" ht="30" customHeight="1" x14ac:dyDescent="0.25">
      <c r="A20" s="345"/>
      <c r="C20" s="348"/>
      <c r="D20" s="349"/>
      <c r="E20" s="349" t="str">
        <f t="shared" ref="E20:N20" si="9">E$5</f>
        <v>FY25A</v>
      </c>
      <c r="F20" s="349" t="str">
        <f t="shared" si="9"/>
        <v>FY26A</v>
      </c>
      <c r="G20" s="349" t="str">
        <f t="shared" si="9"/>
        <v>FY27E</v>
      </c>
      <c r="H20" s="349" t="str">
        <f t="shared" si="9"/>
        <v>FY28E</v>
      </c>
      <c r="I20" s="349" t="str">
        <f t="shared" si="9"/>
        <v>FY29E</v>
      </c>
      <c r="J20" s="349" t="str">
        <f t="shared" si="9"/>
        <v>FY30E</v>
      </c>
      <c r="K20" s="349" t="str">
        <f t="shared" si="9"/>
        <v>FY31E</v>
      </c>
      <c r="L20" s="349" t="str">
        <f t="shared" si="9"/>
        <v>FY32E</v>
      </c>
      <c r="M20" s="349" t="str">
        <f t="shared" si="9"/>
        <v>FY33E</v>
      </c>
      <c r="N20" s="349" t="str">
        <f t="shared" si="9"/>
        <v>FY34E</v>
      </c>
      <c r="O20" s="349"/>
      <c r="P20" s="350" t="str">
        <f>P$2</f>
        <v>FY25A</v>
      </c>
      <c r="Q20" s="348" t="str">
        <f>Q$2</f>
        <v>FY26A</v>
      </c>
      <c r="R20" s="351" t="s">
        <v>1265</v>
      </c>
      <c r="S20" s="352" t="str">
        <f>"E&amp;Pe "&amp;S$2</f>
        <v>E&amp;Pe FY26E</v>
      </c>
      <c r="T20" s="351" t="s">
        <v>1266</v>
      </c>
      <c r="U20" s="352" t="str">
        <f>"VA Cons.  "&amp;S$2</f>
        <v>VA Cons.  FY26E</v>
      </c>
      <c r="V20" s="353" t="s">
        <v>1266</v>
      </c>
      <c r="W20" s="354"/>
      <c r="Z20" s="356"/>
      <c r="AA20" s="356"/>
      <c r="AB20" s="356"/>
      <c r="AC20" s="356"/>
      <c r="AD20" s="355" t="s">
        <v>1267</v>
      </c>
      <c r="AE20" s="355" t="s">
        <v>1268</v>
      </c>
      <c r="AF20" s="355" t="s">
        <v>1269</v>
      </c>
      <c r="AG20" s="355" t="s">
        <v>1270</v>
      </c>
      <c r="AH20" s="355" t="s">
        <v>1262</v>
      </c>
      <c r="AI20" s="355" t="s">
        <v>1</v>
      </c>
      <c r="AJ20" s="355" t="s">
        <v>1271</v>
      </c>
      <c r="AK20" s="355" t="s">
        <v>1272</v>
      </c>
      <c r="AL20" s="355" t="s">
        <v>1273</v>
      </c>
      <c r="AM20" s="355" t="s">
        <v>1274</v>
      </c>
      <c r="AO20" s="355" t="s">
        <v>1267</v>
      </c>
      <c r="AP20" s="355" t="s">
        <v>1268</v>
      </c>
      <c r="AQ20" s="355" t="s">
        <v>1269</v>
      </c>
      <c r="AR20" s="355" t="s">
        <v>1270</v>
      </c>
      <c r="AS20" s="355" t="s">
        <v>1262</v>
      </c>
      <c r="AT20" s="355" t="s">
        <v>1</v>
      </c>
      <c r="AU20" s="355" t="s">
        <v>1271</v>
      </c>
      <c r="AV20" s="355" t="s">
        <v>1272</v>
      </c>
      <c r="AW20" s="355" t="s">
        <v>1273</v>
      </c>
      <c r="AX20" s="355" t="s">
        <v>1274</v>
      </c>
      <c r="AZ20" s="355" t="s">
        <v>1267</v>
      </c>
      <c r="BA20" s="355" t="s">
        <v>1268</v>
      </c>
      <c r="BB20" s="355" t="s">
        <v>1269</v>
      </c>
      <c r="BC20" s="355" t="s">
        <v>1270</v>
      </c>
      <c r="BD20" s="355" t="s">
        <v>1262</v>
      </c>
      <c r="BE20" s="355" t="s">
        <v>1</v>
      </c>
      <c r="BF20" s="355" t="s">
        <v>1271</v>
      </c>
      <c r="BG20" s="355" t="s">
        <v>1272</v>
      </c>
      <c r="BH20" s="355" t="s">
        <v>1273</v>
      </c>
      <c r="BI20" s="355" t="s">
        <v>1274</v>
      </c>
    </row>
    <row r="21" spans="1:61" x14ac:dyDescent="0.25">
      <c r="C21" s="508" t="s">
        <v>1297</v>
      </c>
      <c r="D21" s="360"/>
      <c r="E21" s="360"/>
      <c r="F21" s="360"/>
      <c r="G21" s="360"/>
      <c r="H21" s="360"/>
      <c r="I21" s="360"/>
      <c r="J21" s="360"/>
      <c r="K21" s="360"/>
      <c r="L21" s="360"/>
      <c r="M21" s="360"/>
      <c r="N21" s="360"/>
      <c r="O21" s="360"/>
      <c r="P21" s="514"/>
      <c r="Q21" s="513"/>
      <c r="R21" s="362"/>
      <c r="S21" s="514"/>
      <c r="T21" s="362"/>
      <c r="U21" s="514"/>
      <c r="V21" s="362"/>
      <c r="W21" s="363"/>
      <c r="X21" s="364"/>
      <c r="AO21" s="369"/>
      <c r="AP21" s="369"/>
      <c r="AQ21" s="369"/>
      <c r="AR21" s="369"/>
      <c r="AS21" s="369"/>
      <c r="AT21" s="369"/>
      <c r="AU21" s="369"/>
      <c r="AV21" s="369"/>
      <c r="AW21" s="369"/>
      <c r="AX21" s="369"/>
      <c r="AZ21" s="369"/>
      <c r="BA21" s="369"/>
      <c r="BB21" s="369"/>
      <c r="BC21" s="369"/>
      <c r="BD21" s="369"/>
      <c r="BE21" s="369"/>
      <c r="BF21" s="369"/>
      <c r="BG21" s="369"/>
      <c r="BH21" s="369"/>
      <c r="BI21" s="369"/>
    </row>
    <row r="22" spans="1:61" x14ac:dyDescent="0.25">
      <c r="C22" s="509" t="s">
        <v>71</v>
      </c>
      <c r="D22" s="360"/>
      <c r="E22" s="360">
        <f>FY!H38</f>
        <v>-73.400000000000006</v>
      </c>
      <c r="F22" s="360">
        <f>FY!I38</f>
        <v>-84.9</v>
      </c>
      <c r="G22" s="360">
        <f>FY!J38</f>
        <v>-95.846727320000014</v>
      </c>
      <c r="H22" s="360">
        <f>FY!K38</f>
        <v>-99.384334236000001</v>
      </c>
      <c r="I22" s="360">
        <f>FY!L38</f>
        <v>-104.34155094780002</v>
      </c>
      <c r="J22" s="360">
        <f>FY!M38</f>
        <v>-109.54626849519002</v>
      </c>
      <c r="K22" s="360">
        <f>FY!N38</f>
        <v>-115.01085111994954</v>
      </c>
      <c r="L22" s="360">
        <f>FY!O38</f>
        <v>-120.74828095194702</v>
      </c>
      <c r="M22" s="360">
        <f>FY!P38</f>
        <v>-126.77218889382436</v>
      </c>
      <c r="N22" s="360">
        <f>FY!Q38</f>
        <v>-133.096887049624</v>
      </c>
      <c r="O22" s="360"/>
      <c r="P22" s="361">
        <f>_xlfn.XLOOKUP(P$2,$E$5:$N$5,$E22:$N22)</f>
        <v>-73.400000000000006</v>
      </c>
      <c r="Q22" s="360">
        <v>-84.9</v>
      </c>
      <c r="R22" s="362">
        <f>Q22/P22-1</f>
        <v>0.15667574931880113</v>
      </c>
      <c r="S22" s="361" t="e">
        <f>_xlfn.XLOOKUP(S$2,$E$5:$N$5,$E22:$N22)</f>
        <v>#N/A</v>
      </c>
      <c r="T22" s="362" t="e">
        <f>$Q22/S22-1</f>
        <v>#N/A</v>
      </c>
      <c r="U22" s="361" t="e">
        <f>_xlfn.XLOOKUP(U$2,$AO$5:$AX$5,$AO22:$AX22)</f>
        <v>#N/A</v>
      </c>
      <c r="V22" s="362" t="e">
        <f>$Q22/U22-1</f>
        <v>#N/A</v>
      </c>
      <c r="W22" s="363"/>
      <c r="X22" s="364"/>
      <c r="AO22" s="369"/>
      <c r="AP22" s="369"/>
      <c r="AQ22" s="369"/>
      <c r="AR22" s="369"/>
      <c r="AS22" s="369"/>
      <c r="AT22" s="369"/>
      <c r="AU22" s="369"/>
      <c r="AV22" s="369"/>
      <c r="AW22" s="369"/>
      <c r="AX22" s="369"/>
      <c r="AZ22" s="369"/>
      <c r="BA22" s="369"/>
      <c r="BB22" s="369"/>
      <c r="BC22" s="369"/>
      <c r="BD22" s="369"/>
      <c r="BE22" s="369"/>
      <c r="BF22" s="369"/>
      <c r="BG22" s="369"/>
      <c r="BH22" s="369"/>
      <c r="BI22" s="369"/>
    </row>
    <row r="23" spans="1:61" x14ac:dyDescent="0.25">
      <c r="C23" s="509" t="s">
        <v>121</v>
      </c>
      <c r="D23" s="360"/>
      <c r="E23" s="360">
        <f>FY!H50</f>
        <v>-19.5</v>
      </c>
      <c r="F23" s="360">
        <f>FY!I50</f>
        <v>-28.2</v>
      </c>
      <c r="G23" s="360">
        <f>FY!J50</f>
        <v>-21.5</v>
      </c>
      <c r="H23" s="360">
        <f>FY!K50</f>
        <v>-21.5</v>
      </c>
      <c r="I23" s="360">
        <f>FY!L50</f>
        <v>-21.739600386000003</v>
      </c>
      <c r="J23" s="360">
        <f>FY!M50</f>
        <v>-22.826580405300007</v>
      </c>
      <c r="K23" s="360">
        <f>FY!N50</f>
        <v>-23.967909425565004</v>
      </c>
      <c r="L23" s="360">
        <f>FY!O50</f>
        <v>-25.166304896843261</v>
      </c>
      <c r="M23" s="360">
        <f>FY!P50</f>
        <v>-26.424620141685423</v>
      </c>
      <c r="N23" s="360">
        <f>FY!Q50</f>
        <v>-27.745851148769692</v>
      </c>
      <c r="O23" s="360"/>
      <c r="P23" s="361">
        <f>_xlfn.XLOOKUP(P$2,$E$5:$N$5,$E23:$N23)</f>
        <v>-19.5</v>
      </c>
      <c r="Q23" s="360">
        <v>-28.2</v>
      </c>
      <c r="R23" s="362">
        <f>Q23/P23-1</f>
        <v>0.44615384615384612</v>
      </c>
      <c r="S23" s="361" t="e">
        <f>_xlfn.XLOOKUP(S$2,$E$5:$N$5,$E23:$N23)</f>
        <v>#N/A</v>
      </c>
      <c r="T23" s="362" t="e">
        <f>$Q23/S23-1</f>
        <v>#N/A</v>
      </c>
      <c r="U23" s="361" t="e">
        <f>_xlfn.XLOOKUP(U$2,$AO$5:$AX$5,$AO23:$AX23)</f>
        <v>#N/A</v>
      </c>
      <c r="V23" s="362" t="e">
        <f>$Q23/U23-1</f>
        <v>#N/A</v>
      </c>
      <c r="W23" s="363"/>
      <c r="X23" s="364"/>
      <c r="AO23" s="369"/>
      <c r="AP23" s="369"/>
      <c r="AQ23" s="369"/>
      <c r="AR23" s="369"/>
      <c r="AS23" s="369"/>
      <c r="AT23" s="369"/>
      <c r="AU23" s="369"/>
      <c r="AV23" s="369"/>
      <c r="AW23" s="369"/>
      <c r="AX23" s="369"/>
      <c r="AZ23" s="369"/>
      <c r="BA23" s="369"/>
      <c r="BB23" s="369"/>
      <c r="BC23" s="369"/>
      <c r="BD23" s="369"/>
      <c r="BE23" s="369"/>
      <c r="BF23" s="369"/>
      <c r="BG23" s="369"/>
      <c r="BH23" s="369"/>
      <c r="BI23" s="369"/>
    </row>
    <row r="24" spans="1:61" x14ac:dyDescent="0.25">
      <c r="C24" s="509" t="s">
        <v>127</v>
      </c>
      <c r="D24" s="360"/>
      <c r="E24" s="360">
        <f>FY!H49</f>
        <v>-35.6</v>
      </c>
      <c r="F24" s="360">
        <f>FY!I49</f>
        <v>-39.899999999999991</v>
      </c>
      <c r="G24" s="360">
        <f>FY!J49</f>
        <v>-33.5</v>
      </c>
      <c r="H24" s="360">
        <f>FY!K49</f>
        <v>-33.2196393774</v>
      </c>
      <c r="I24" s="360">
        <f>FY!L49</f>
        <v>-32.85635305995001</v>
      </c>
      <c r="J24" s="360">
        <f>FY!M49</f>
        <v>-32.895481776097512</v>
      </c>
      <c r="K24" s="360">
        <f>FY!N49</f>
        <v>-33.42605406280876</v>
      </c>
      <c r="L24" s="360">
        <f>FY!O49</f>
        <v>-35.097356765949201</v>
      </c>
      <c r="M24" s="360">
        <f>FY!P49</f>
        <v>-36.852224604246658</v>
      </c>
      <c r="N24" s="360">
        <f>FY!Q49</f>
        <v>-38.694835834458985</v>
      </c>
      <c r="O24" s="360"/>
      <c r="P24" s="361">
        <f>_xlfn.XLOOKUP(P$2,$E$5:$N$5,$E24:$N24)</f>
        <v>-35.6</v>
      </c>
      <c r="Q24" s="360">
        <f>Q31-Q23</f>
        <v>-40</v>
      </c>
      <c r="R24" s="362">
        <f>Q24/P24-1</f>
        <v>0.12359550561797739</v>
      </c>
      <c r="S24" s="361" t="e">
        <f>_xlfn.XLOOKUP(S$2,$E$5:$N$5,$E24:$N24)</f>
        <v>#N/A</v>
      </c>
      <c r="T24" s="362" t="e">
        <f>$Q24/S24-1</f>
        <v>#N/A</v>
      </c>
      <c r="U24" s="361" t="e">
        <f>_xlfn.XLOOKUP(U$2,$AO$5:$AX$5,$AO24:$AX24)</f>
        <v>#N/A</v>
      </c>
      <c r="V24" s="362" t="e">
        <f>$Q24/U24-1</f>
        <v>#N/A</v>
      </c>
      <c r="W24" s="363"/>
      <c r="X24" s="364"/>
      <c r="AO24" s="369"/>
      <c r="AP24" s="369"/>
      <c r="AQ24" s="369"/>
      <c r="AR24" s="369"/>
      <c r="AS24" s="369"/>
      <c r="AT24" s="369"/>
      <c r="AU24" s="369"/>
      <c r="AV24" s="369"/>
      <c r="AW24" s="369"/>
      <c r="AX24" s="369"/>
      <c r="AZ24" s="369"/>
      <c r="BA24" s="369"/>
      <c r="BB24" s="369"/>
      <c r="BC24" s="369"/>
      <c r="BD24" s="369"/>
      <c r="BE24" s="369"/>
      <c r="BF24" s="369"/>
      <c r="BG24" s="369"/>
      <c r="BH24" s="369"/>
      <c r="BI24" s="369"/>
    </row>
    <row r="25" spans="1:61" x14ac:dyDescent="0.25">
      <c r="C25" s="512"/>
      <c r="D25" s="360"/>
      <c r="E25" s="360"/>
      <c r="F25" s="360"/>
      <c r="G25" s="360"/>
      <c r="H25" s="360"/>
      <c r="I25" s="360"/>
      <c r="J25" s="360"/>
      <c r="K25" s="360"/>
      <c r="L25" s="360"/>
      <c r="M25" s="360"/>
      <c r="N25" s="360"/>
      <c r="O25" s="360"/>
      <c r="P25" s="514"/>
      <c r="Q25" s="513"/>
      <c r="R25" s="362"/>
      <c r="S25" s="514"/>
      <c r="T25" s="362"/>
      <c r="U25" s="514"/>
      <c r="V25" s="362"/>
      <c r="W25" s="363"/>
      <c r="X25" s="364"/>
      <c r="AO25" s="369"/>
      <c r="AP25" s="369"/>
      <c r="AQ25" s="369"/>
      <c r="AR25" s="369"/>
      <c r="AS25" s="369"/>
      <c r="AT25" s="369"/>
      <c r="AU25" s="369"/>
      <c r="AV25" s="369"/>
      <c r="AW25" s="369"/>
      <c r="AX25" s="369"/>
      <c r="AZ25" s="369"/>
      <c r="BA25" s="369"/>
      <c r="BB25" s="369"/>
      <c r="BC25" s="369"/>
      <c r="BD25" s="369"/>
      <c r="BE25" s="369"/>
      <c r="BF25" s="369"/>
      <c r="BG25" s="369"/>
      <c r="BH25" s="369"/>
      <c r="BI25" s="369"/>
    </row>
    <row r="26" spans="1:61" x14ac:dyDescent="0.25">
      <c r="C26" s="508" t="s">
        <v>1298</v>
      </c>
      <c r="D26" s="360"/>
      <c r="E26" s="360"/>
      <c r="F26" s="360"/>
      <c r="G26" s="360"/>
      <c r="H26" s="360"/>
      <c r="I26" s="360"/>
      <c r="J26" s="360"/>
      <c r="K26" s="360"/>
      <c r="L26" s="360"/>
      <c r="M26" s="360"/>
      <c r="N26" s="360"/>
      <c r="O26" s="360"/>
      <c r="P26" s="514"/>
      <c r="Q26" s="513"/>
      <c r="R26" s="362"/>
      <c r="S26" s="514"/>
      <c r="T26" s="362"/>
      <c r="U26" s="514"/>
      <c r="V26" s="362"/>
      <c r="W26" s="363"/>
      <c r="X26" s="364"/>
      <c r="AO26" s="369"/>
      <c r="AP26" s="369"/>
      <c r="AQ26" s="369"/>
      <c r="AR26" s="369"/>
      <c r="AS26" s="369"/>
      <c r="AT26" s="369"/>
      <c r="AU26" s="369"/>
      <c r="AV26" s="369"/>
      <c r="AW26" s="369"/>
      <c r="AX26" s="369"/>
      <c r="AZ26" s="369"/>
      <c r="BA26" s="369"/>
      <c r="BB26" s="369"/>
      <c r="BC26" s="369"/>
      <c r="BD26" s="369"/>
      <c r="BE26" s="369"/>
      <c r="BF26" s="369"/>
      <c r="BG26" s="369"/>
      <c r="BH26" s="369"/>
      <c r="BI26" s="369"/>
    </row>
    <row r="27" spans="1:61" x14ac:dyDescent="0.25">
      <c r="C27" s="510" t="s">
        <v>71</v>
      </c>
      <c r="E27" s="517">
        <f t="shared" ref="E27:N27" si="10">E22/E$15</f>
        <v>-0.49661705006765899</v>
      </c>
      <c r="F27" s="517">
        <f t="shared" si="10"/>
        <v>-0.53700189753320693</v>
      </c>
      <c r="G27" s="517">
        <f t="shared" si="10"/>
        <v>-0.5228060836043964</v>
      </c>
      <c r="H27" s="517">
        <f t="shared" si="10"/>
        <v>-0.51628793681614416</v>
      </c>
      <c r="I27" s="517">
        <f t="shared" si="10"/>
        <v>-0.51622856696063357</v>
      </c>
      <c r="J27" s="517">
        <f t="shared" si="10"/>
        <v>-0.51617032795951356</v>
      </c>
      <c r="K27" s="517">
        <f t="shared" si="10"/>
        <v>-0.51611319827270075</v>
      </c>
      <c r="L27" s="517">
        <f t="shared" si="10"/>
        <v>-0.51605715677039854</v>
      </c>
      <c r="M27" s="517">
        <f t="shared" si="10"/>
        <v>-0.51600218272528298</v>
      </c>
      <c r="N27" s="517">
        <f t="shared" si="10"/>
        <v>-0.5159482558048365</v>
      </c>
      <c r="P27" s="519">
        <f>_xlfn.XLOOKUP(P$2,$E$5:$N$5,$E27:$N27)</f>
        <v>-0.49661705006765899</v>
      </c>
      <c r="Q27" s="517">
        <f>Q22/Q15</f>
        <v>-0.53700189753320693</v>
      </c>
      <c r="R27" s="518">
        <f>(Q27-P27)*100</f>
        <v>-4.0384847465547935</v>
      </c>
      <c r="S27" s="519" t="e">
        <f>_xlfn.XLOOKUP(S$2,$E$5:$N$5,$E27:$N27)</f>
        <v>#N/A</v>
      </c>
      <c r="T27" s="518" t="e">
        <f>($Q27-S27)*100</f>
        <v>#N/A</v>
      </c>
      <c r="U27" s="519" t="e">
        <f>_xlfn.XLOOKUP(U$2,$AO$5:$AX$5,$AO27:$AX27)</f>
        <v>#N/A</v>
      </c>
      <c r="V27" s="518" t="e">
        <f>($Q27-U27)*100</f>
        <v>#N/A</v>
      </c>
      <c r="AD27" s="520" t="e">
        <f t="shared" ref="AD27:AM27" si="11">AD21/AD16</f>
        <v>#VALUE!</v>
      </c>
      <c r="AE27" s="520" t="e">
        <f t="shared" si="11"/>
        <v>#VALUE!</v>
      </c>
      <c r="AF27" s="520" t="e">
        <f t="shared" si="11"/>
        <v>#VALUE!</v>
      </c>
      <c r="AG27" s="520" t="e">
        <f t="shared" si="11"/>
        <v>#VALUE!</v>
      </c>
      <c r="AH27" s="520" t="e">
        <f t="shared" si="11"/>
        <v>#VALUE!</v>
      </c>
      <c r="AI27" s="520" t="e">
        <f t="shared" si="11"/>
        <v>#VALUE!</v>
      </c>
      <c r="AJ27" s="520" t="e">
        <f t="shared" si="11"/>
        <v>#VALUE!</v>
      </c>
      <c r="AK27" s="520" t="e">
        <f t="shared" si="11"/>
        <v>#VALUE!</v>
      </c>
      <c r="AL27" s="520" t="e">
        <f t="shared" si="11"/>
        <v>#VALUE!</v>
      </c>
      <c r="AM27" s="520" t="e">
        <f t="shared" si="11"/>
        <v>#VALUE!</v>
      </c>
      <c r="AO27" s="522">
        <v>0.49164677804295942</v>
      </c>
      <c r="AP27" s="522">
        <v>0.49469214437367298</v>
      </c>
      <c r="AQ27" s="522">
        <v>0.5053763440860215</v>
      </c>
      <c r="AR27" s="522">
        <v>0.49395161290322581</v>
      </c>
      <c r="AS27" s="522">
        <v>0.48739495798319332</v>
      </c>
      <c r="AT27" s="522">
        <v>0.50463821892393323</v>
      </c>
      <c r="AU27" s="522">
        <v>0.4972067039106145</v>
      </c>
      <c r="AV27" s="522">
        <v>0.49902912621359219</v>
      </c>
      <c r="AW27" s="522">
        <v>0.5131313131313131</v>
      </c>
      <c r="AX27" s="522">
        <v>0.53030303030303028</v>
      </c>
      <c r="AZ27" s="524">
        <f t="shared" ref="AZ27:BI29" si="12">E27-AO27</f>
        <v>-0.98826382811061841</v>
      </c>
      <c r="BA27" s="524">
        <f t="shared" si="12"/>
        <v>-1.0316940419068799</v>
      </c>
      <c r="BB27" s="524">
        <f t="shared" si="12"/>
        <v>-1.0281824276904179</v>
      </c>
      <c r="BC27" s="524">
        <f t="shared" si="12"/>
        <v>-1.0102395497193699</v>
      </c>
      <c r="BD27" s="524">
        <f t="shared" si="12"/>
        <v>-1.0036235249438268</v>
      </c>
      <c r="BE27" s="524">
        <f t="shared" si="12"/>
        <v>-1.0208085468834467</v>
      </c>
      <c r="BF27" s="524">
        <f t="shared" si="12"/>
        <v>-1.0133199021833152</v>
      </c>
      <c r="BG27" s="524">
        <f t="shared" si="12"/>
        <v>-1.0150862829839906</v>
      </c>
      <c r="BH27" s="524">
        <f t="shared" si="12"/>
        <v>-1.0291334958565961</v>
      </c>
      <c r="BI27" s="524">
        <f t="shared" si="12"/>
        <v>-1.0462512861078668</v>
      </c>
    </row>
    <row r="28" spans="1:61" x14ac:dyDescent="0.25">
      <c r="C28" s="510" t="s">
        <v>121</v>
      </c>
      <c r="E28" s="517">
        <f t="shared" ref="E28:N28" si="13">E23/E$15</f>
        <v>-0.13193504736129905</v>
      </c>
      <c r="F28" s="517">
        <f t="shared" si="13"/>
        <v>-0.17836812144212524</v>
      </c>
      <c r="G28" s="517">
        <f t="shared" si="13"/>
        <v>-0.11727401771337308</v>
      </c>
      <c r="H28" s="517">
        <f t="shared" si="13"/>
        <v>-0.11168954067940294</v>
      </c>
      <c r="I28" s="517">
        <f t="shared" si="13"/>
        <v>-0.10755641114800049</v>
      </c>
      <c r="J28" s="517">
        <f t="shared" si="13"/>
        <v>-0.10755641114800048</v>
      </c>
      <c r="K28" s="517">
        <f t="shared" si="13"/>
        <v>-0.10755641114800049</v>
      </c>
      <c r="L28" s="517">
        <f t="shared" si="13"/>
        <v>-0.10755641114800049</v>
      </c>
      <c r="M28" s="517">
        <f t="shared" si="13"/>
        <v>-0.10755641114800049</v>
      </c>
      <c r="N28" s="517">
        <f t="shared" si="13"/>
        <v>-0.10755641114800049</v>
      </c>
      <c r="P28" s="519">
        <f>_xlfn.XLOOKUP(P$2,$E$5:$N$5,$E28:$N28)</f>
        <v>-0.13193504736129905</v>
      </c>
      <c r="Q28" s="517">
        <f>Q23/Q15</f>
        <v>-0.17836812144212524</v>
      </c>
      <c r="R28" s="518">
        <f>(Q28-P28)*100</f>
        <v>-4.6433074080826202</v>
      </c>
      <c r="S28" s="519" t="e">
        <f>_xlfn.XLOOKUP(S$2,$E$5:$N$5,$E28:$N28)</f>
        <v>#N/A</v>
      </c>
      <c r="T28" s="518" t="e">
        <f>($Q28-S28)*100</f>
        <v>#N/A</v>
      </c>
      <c r="U28" s="519" t="e">
        <f>_xlfn.XLOOKUP(U$2,$AO$5:$AX$5,$AO28:$AX28)</f>
        <v>#N/A</v>
      </c>
      <c r="V28" s="518" t="e">
        <f>($Q28-U28)*100</f>
        <v>#N/A</v>
      </c>
      <c r="AD28" s="520" t="e">
        <f t="shared" ref="AD28:AM28" si="14">AD22/AD17</f>
        <v>#DIV/0!</v>
      </c>
      <c r="AE28" s="520" t="e">
        <f t="shared" si="14"/>
        <v>#DIV/0!</v>
      </c>
      <c r="AF28" s="520" t="e">
        <f t="shared" si="14"/>
        <v>#DIV/0!</v>
      </c>
      <c r="AG28" s="520" t="e">
        <f t="shared" si="14"/>
        <v>#DIV/0!</v>
      </c>
      <c r="AH28" s="520" t="e">
        <f t="shared" si="14"/>
        <v>#DIV/0!</v>
      </c>
      <c r="AI28" s="520" t="e">
        <f t="shared" si="14"/>
        <v>#DIV/0!</v>
      </c>
      <c r="AJ28" s="520" t="e">
        <f t="shared" si="14"/>
        <v>#DIV/0!</v>
      </c>
      <c r="AK28" s="520" t="e">
        <f t="shared" si="14"/>
        <v>#DIV/0!</v>
      </c>
      <c r="AL28" s="520" t="e">
        <f t="shared" si="14"/>
        <v>#DIV/0!</v>
      </c>
      <c r="AM28" s="520" t="e">
        <f t="shared" si="14"/>
        <v>#DIV/0!</v>
      </c>
      <c r="AO28" s="522">
        <v>0.49164677804295942</v>
      </c>
      <c r="AP28" s="522">
        <v>0.49469214437367298</v>
      </c>
      <c r="AQ28" s="522">
        <v>0.5053763440860215</v>
      </c>
      <c r="AR28" s="522">
        <v>0.49395161290322581</v>
      </c>
      <c r="AS28" s="522">
        <v>0.48739495798319332</v>
      </c>
      <c r="AT28" s="522">
        <v>0.50463821892393323</v>
      </c>
      <c r="AU28" s="522">
        <v>0.4972067039106145</v>
      </c>
      <c r="AV28" s="522">
        <v>0.49902912621359219</v>
      </c>
      <c r="AW28" s="522">
        <v>0.5131313131313131</v>
      </c>
      <c r="AX28" s="522">
        <v>0.53030303030303028</v>
      </c>
      <c r="AZ28" s="524">
        <f t="shared" si="12"/>
        <v>-0.62358182540425844</v>
      </c>
      <c r="BA28" s="524">
        <f t="shared" si="12"/>
        <v>-0.67306026581579825</v>
      </c>
      <c r="BB28" s="524">
        <f t="shared" si="12"/>
        <v>-0.62265036179939459</v>
      </c>
      <c r="BC28" s="524">
        <f t="shared" si="12"/>
        <v>-0.60564115358262871</v>
      </c>
      <c r="BD28" s="524">
        <f t="shared" si="12"/>
        <v>-0.59495136913119384</v>
      </c>
      <c r="BE28" s="524">
        <f t="shared" si="12"/>
        <v>-0.61219463007193375</v>
      </c>
      <c r="BF28" s="524">
        <f t="shared" si="12"/>
        <v>-0.60476311505861502</v>
      </c>
      <c r="BG28" s="524">
        <f t="shared" si="12"/>
        <v>-0.60658553736159271</v>
      </c>
      <c r="BH28" s="524">
        <f t="shared" si="12"/>
        <v>-0.62068772427931362</v>
      </c>
      <c r="BI28" s="524">
        <f t="shared" si="12"/>
        <v>-0.6378594414510308</v>
      </c>
    </row>
    <row r="29" spans="1:61" x14ac:dyDescent="0.25">
      <c r="C29" s="510" t="s">
        <v>127</v>
      </c>
      <c r="E29" s="517">
        <f t="shared" ref="E29:N29" si="15">E24/E$15</f>
        <v>-0.24086603518267929</v>
      </c>
      <c r="F29" s="517">
        <f t="shared" si="15"/>
        <v>-0.25237191650853885</v>
      </c>
      <c r="G29" s="517">
        <f t="shared" si="15"/>
        <v>-0.18272928341386038</v>
      </c>
      <c r="H29" s="517">
        <f t="shared" si="15"/>
        <v>-0.1725714541208006</v>
      </c>
      <c r="I29" s="517">
        <f t="shared" si="15"/>
        <v>-0.16255641114800051</v>
      </c>
      <c r="J29" s="517">
        <f t="shared" si="15"/>
        <v>-0.155</v>
      </c>
      <c r="K29" s="517">
        <f t="shared" si="15"/>
        <v>-0.15000000000000002</v>
      </c>
      <c r="L29" s="517">
        <f t="shared" si="15"/>
        <v>-0.15</v>
      </c>
      <c r="M29" s="517">
        <f t="shared" si="15"/>
        <v>-0.15</v>
      </c>
      <c r="N29" s="517">
        <f t="shared" si="15"/>
        <v>-0.14999999999999997</v>
      </c>
      <c r="P29" s="519">
        <f>_xlfn.XLOOKUP(P$2,$E$5:$N$5,$E29:$N29)</f>
        <v>-0.24086603518267929</v>
      </c>
      <c r="Q29" s="517">
        <f>Q24/Q15</f>
        <v>-0.25300442757748259</v>
      </c>
      <c r="R29" s="518">
        <f>(Q29-P29)*100</f>
        <v>-1.2138392394803299</v>
      </c>
      <c r="S29" s="519" t="e">
        <f>_xlfn.XLOOKUP(S$2,$E$5:$N$5,$E29:$N29)</f>
        <v>#N/A</v>
      </c>
      <c r="T29" s="518" t="e">
        <f>($Q29-S29)*100</f>
        <v>#N/A</v>
      </c>
      <c r="U29" s="519" t="e">
        <f>_xlfn.XLOOKUP(U$2,$AO$5:$AX$5,$AO29:$AX29)</f>
        <v>#N/A</v>
      </c>
      <c r="V29" s="518" t="e">
        <f>($Q29-U29)*100</f>
        <v>#N/A</v>
      </c>
      <c r="AD29" s="520" t="e">
        <f t="shared" ref="AD29:AM29" si="16">AD23/AD18</f>
        <v>#DIV/0!</v>
      </c>
      <c r="AE29" s="520" t="e">
        <f t="shared" si="16"/>
        <v>#DIV/0!</v>
      </c>
      <c r="AF29" s="520" t="e">
        <f t="shared" si="16"/>
        <v>#DIV/0!</v>
      </c>
      <c r="AG29" s="520" t="e">
        <f t="shared" si="16"/>
        <v>#DIV/0!</v>
      </c>
      <c r="AH29" s="520" t="e">
        <f t="shared" si="16"/>
        <v>#DIV/0!</v>
      </c>
      <c r="AI29" s="520" t="e">
        <f t="shared" si="16"/>
        <v>#DIV/0!</v>
      </c>
      <c r="AJ29" s="520" t="e">
        <f t="shared" si="16"/>
        <v>#DIV/0!</v>
      </c>
      <c r="AK29" s="520" t="e">
        <f t="shared" si="16"/>
        <v>#DIV/0!</v>
      </c>
      <c r="AL29" s="520" t="e">
        <f t="shared" si="16"/>
        <v>#DIV/0!</v>
      </c>
      <c r="AM29" s="520" t="e">
        <f t="shared" si="16"/>
        <v>#DIV/0!</v>
      </c>
      <c r="AO29" s="522">
        <v>0.49164677804295942</v>
      </c>
      <c r="AP29" s="522">
        <v>0.49469214437367298</v>
      </c>
      <c r="AQ29" s="522">
        <v>0.5053763440860215</v>
      </c>
      <c r="AR29" s="522">
        <v>0.49395161290322581</v>
      </c>
      <c r="AS29" s="522">
        <v>0.48739495798319332</v>
      </c>
      <c r="AT29" s="522">
        <v>0.50463821892393323</v>
      </c>
      <c r="AU29" s="522">
        <v>0.4972067039106145</v>
      </c>
      <c r="AV29" s="522">
        <v>0.49902912621359219</v>
      </c>
      <c r="AW29" s="522">
        <v>0.5131313131313131</v>
      </c>
      <c r="AX29" s="522">
        <v>0.53030303030303028</v>
      </c>
      <c r="AZ29" s="524">
        <f t="shared" si="12"/>
        <v>-0.73251281322563866</v>
      </c>
      <c r="BA29" s="524">
        <f t="shared" si="12"/>
        <v>-0.74706406088221189</v>
      </c>
      <c r="BB29" s="524">
        <f t="shared" si="12"/>
        <v>-0.68810562749988191</v>
      </c>
      <c r="BC29" s="524">
        <f t="shared" si="12"/>
        <v>-0.66652306702402642</v>
      </c>
      <c r="BD29" s="524">
        <f t="shared" si="12"/>
        <v>-0.64995136913119378</v>
      </c>
      <c r="BE29" s="524">
        <f t="shared" si="12"/>
        <v>-0.65963821892393326</v>
      </c>
      <c r="BF29" s="524">
        <f t="shared" si="12"/>
        <v>-0.64720670391061452</v>
      </c>
      <c r="BG29" s="524">
        <f t="shared" si="12"/>
        <v>-0.64902912621359221</v>
      </c>
      <c r="BH29" s="524">
        <f t="shared" si="12"/>
        <v>-0.66313131313131313</v>
      </c>
      <c r="BI29" s="524">
        <f t="shared" si="12"/>
        <v>-0.68030303030303019</v>
      </c>
    </row>
    <row r="31" spans="1:61" x14ac:dyDescent="0.25">
      <c r="C31" s="509" t="s">
        <v>1345</v>
      </c>
      <c r="E31" s="360">
        <f>FY!H52</f>
        <v>-55.1</v>
      </c>
      <c r="F31" s="360">
        <f>FY!I52</f>
        <v>-68.2</v>
      </c>
      <c r="G31" s="360">
        <f>FY!J52</f>
        <v>-55</v>
      </c>
      <c r="H31" s="360">
        <f>FY!K52</f>
        <v>-54.7196393774</v>
      </c>
      <c r="I31" s="360">
        <f>FY!L52</f>
        <v>-54.595953445950009</v>
      </c>
      <c r="J31" s="360">
        <f>FY!M52</f>
        <v>-55.722062181397519</v>
      </c>
      <c r="K31" s="360">
        <f>FY!N52</f>
        <v>-57.393963488373764</v>
      </c>
      <c r="L31" s="360">
        <f>FY!O52</f>
        <v>-60.263661662792458</v>
      </c>
      <c r="M31" s="360">
        <f>FY!P52</f>
        <v>-63.276844745932081</v>
      </c>
      <c r="N31" s="360">
        <f>FY!Q52</f>
        <v>-66.440686983228687</v>
      </c>
      <c r="P31" s="361">
        <f>_xlfn.XLOOKUP(P$2,$E$5:$N$5,$E31:$N31)</f>
        <v>-55.1</v>
      </c>
      <c r="Q31" s="360">
        <v>-68.2</v>
      </c>
      <c r="R31" s="362">
        <f>Q31/P31-1</f>
        <v>0.23774954627949185</v>
      </c>
      <c r="S31" s="361" t="e">
        <f>_xlfn.XLOOKUP(S$2,$E$5:$N$5,$E31:$N31)</f>
        <v>#N/A</v>
      </c>
      <c r="T31" s="362" t="e">
        <f>$Q31/S31-1</f>
        <v>#N/A</v>
      </c>
      <c r="U31" s="361" t="e">
        <f>_xlfn.XLOOKUP(U$2,$AO$5:$AX$5,$AO31:$AX31)</f>
        <v>#N/A</v>
      </c>
      <c r="V31" s="362" t="e">
        <f>$Q31/U31-1</f>
        <v>#N/A</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C2:Q25"/>
  <sheetViews>
    <sheetView showGridLines="0" zoomScaleNormal="100" workbookViewId="0">
      <selection activeCell="Q10" sqref="Q10"/>
    </sheetView>
  </sheetViews>
  <sheetFormatPr defaultRowHeight="15" outlineLevelCol="1" x14ac:dyDescent="0.25"/>
  <cols>
    <col min="1" max="1" width="2.7109375" customWidth="1"/>
    <col min="2" max="2" width="1.7109375" customWidth="1"/>
    <col min="3" max="3" width="12.7109375" style="396" customWidth="1"/>
    <col min="4" max="4" width="9.7109375" customWidth="1"/>
    <col min="5" max="5" width="8.7109375" hidden="1" customWidth="1" outlineLevel="1"/>
    <col min="6" max="6" width="8.7109375" hidden="1" customWidth="1" outlineLevel="1" collapsed="1"/>
    <col min="7" max="7" width="8.7109375" customWidth="1" collapsed="1"/>
    <col min="8" max="14" width="8.7109375" customWidth="1"/>
    <col min="15" max="15" width="1.7109375" customWidth="1"/>
    <col min="17" max="17" width="21.140625" bestFit="1" customWidth="1"/>
  </cols>
  <sheetData>
    <row r="2" spans="3:17" ht="13.5" customHeight="1" x14ac:dyDescent="0.25">
      <c r="C2" s="373"/>
      <c r="D2" s="374"/>
      <c r="E2" s="375" t="s">
        <v>1299</v>
      </c>
      <c r="F2" s="375" t="s">
        <v>1300</v>
      </c>
      <c r="G2" s="375" t="str">
        <f>FY!J6</f>
        <v>FY27E</v>
      </c>
      <c r="H2" s="375" t="str">
        <f>FY!K6</f>
        <v>FY28E</v>
      </c>
      <c r="I2" s="375" t="str">
        <f>FY!L6</f>
        <v>FY29E</v>
      </c>
      <c r="J2" s="375" t="str">
        <f>FY!M6</f>
        <v>FY30E</v>
      </c>
      <c r="K2" s="375" t="str">
        <f>FY!N6</f>
        <v>FY31E</v>
      </c>
      <c r="L2" s="375" t="str">
        <f>FY!O6</f>
        <v>FY32E</v>
      </c>
      <c r="M2" s="375" t="str">
        <f>FY!P6</f>
        <v>FY33E</v>
      </c>
      <c r="N2" s="375" t="str">
        <f>FY!Q6</f>
        <v>FY34E</v>
      </c>
    </row>
    <row r="3" spans="3:17" s="370" customFormat="1" ht="13.5" customHeight="1" x14ac:dyDescent="0.25">
      <c r="C3" s="376" t="s">
        <v>60</v>
      </c>
      <c r="D3" s="377" t="s">
        <v>1301</v>
      </c>
      <c r="E3" s="378">
        <f>FY!H68</f>
        <v>134.6</v>
      </c>
      <c r="F3" s="378">
        <f>FY!I68</f>
        <v>145.4</v>
      </c>
      <c r="G3" s="378">
        <f>FY!J68</f>
        <v>166.66483272727277</v>
      </c>
      <c r="H3" s="378">
        <f>FY!K68</f>
        <v>174.99807436363636</v>
      </c>
      <c r="I3" s="378">
        <f>FY!L68</f>
        <v>183.74797808181819</v>
      </c>
      <c r="J3" s="378">
        <f>FY!M68</f>
        <v>192.93537698590916</v>
      </c>
      <c r="K3" s="378">
        <f>FY!N68</f>
        <v>202.58214583520459</v>
      </c>
      <c r="L3" s="378">
        <f>FY!O68</f>
        <v>212.71125312696486</v>
      </c>
      <c r="M3" s="378">
        <f>FY!P68</f>
        <v>223.34681578331308</v>
      </c>
      <c r="N3" s="378">
        <f>FY!Q68</f>
        <v>234.51415657247873</v>
      </c>
      <c r="O3" s="379"/>
    </row>
    <row r="4" spans="3:17" ht="13.5" customHeight="1" x14ac:dyDescent="0.25">
      <c r="C4" s="376"/>
      <c r="D4" s="380" t="s">
        <v>1302</v>
      </c>
      <c r="E4" s="381">
        <v>134.6</v>
      </c>
      <c r="F4" s="381">
        <v>145.4</v>
      </c>
      <c r="G4" s="381">
        <v>166.66483272727277</v>
      </c>
      <c r="H4" s="381">
        <v>174.99807436363636</v>
      </c>
      <c r="I4" s="381">
        <v>183.74797808181819</v>
      </c>
      <c r="J4" s="381">
        <v>192.93537698590916</v>
      </c>
      <c r="K4" s="381">
        <v>202.58214583520459</v>
      </c>
      <c r="L4" s="381">
        <v>212.71125312696486</v>
      </c>
      <c r="M4" s="381">
        <v>223.34681578331308</v>
      </c>
      <c r="N4" s="381">
        <v>234.51415657247873</v>
      </c>
      <c r="O4" s="382"/>
      <c r="P4" s="591" t="s">
        <v>1319</v>
      </c>
      <c r="Q4" t="s">
        <v>1320</v>
      </c>
    </row>
    <row r="5" spans="3:17" ht="13.5" customHeight="1" x14ac:dyDescent="0.25">
      <c r="C5" s="383"/>
      <c r="D5" s="384" t="s">
        <v>1303</v>
      </c>
      <c r="E5" s="385">
        <f t="shared" ref="E5:J5" si="0">E3/E4-1</f>
        <v>0</v>
      </c>
      <c r="F5" s="385">
        <f t="shared" si="0"/>
        <v>0</v>
      </c>
      <c r="G5" s="385">
        <f t="shared" si="0"/>
        <v>0</v>
      </c>
      <c r="H5" s="385">
        <f t="shared" si="0"/>
        <v>0</v>
      </c>
      <c r="I5" s="385">
        <f t="shared" si="0"/>
        <v>0</v>
      </c>
      <c r="J5" s="385">
        <f t="shared" si="0"/>
        <v>0</v>
      </c>
      <c r="K5" s="385">
        <f t="shared" ref="K5:N5" si="1">K3/K4-1</f>
        <v>0</v>
      </c>
      <c r="L5" s="385">
        <f t="shared" si="1"/>
        <v>0</v>
      </c>
      <c r="M5" s="385">
        <f t="shared" si="1"/>
        <v>0</v>
      </c>
      <c r="N5" s="385">
        <f t="shared" si="1"/>
        <v>0</v>
      </c>
      <c r="O5" s="382"/>
    </row>
    <row r="6" spans="3:17" s="370" customFormat="1" ht="13.5" customHeight="1" x14ac:dyDescent="0.25">
      <c r="C6" s="376" t="s">
        <v>75</v>
      </c>
      <c r="D6" s="377" t="s">
        <v>1301</v>
      </c>
      <c r="E6" s="378">
        <f>FY!H75</f>
        <v>7.2</v>
      </c>
      <c r="F6" s="378">
        <f>FY!I75</f>
        <v>-7.1</v>
      </c>
      <c r="G6" s="378">
        <f>FY!J75</f>
        <v>16.471692986595372</v>
      </c>
      <c r="H6" s="378">
        <f>FY!K75</f>
        <v>21.580367708525142</v>
      </c>
      <c r="I6" s="378">
        <f>FY!L75</f>
        <v>25.531053994271389</v>
      </c>
      <c r="J6" s="378">
        <f>FY!M75</f>
        <v>28.423655630834983</v>
      </c>
      <c r="K6" s="378">
        <f>FY!N75</f>
        <v>30.971771014470328</v>
      </c>
      <c r="L6" s="378">
        <f>FY!O75</f>
        <v>32.533472289193867</v>
      </c>
      <c r="M6" s="378">
        <f>FY!P75</f>
        <v>34.173652009373534</v>
      </c>
      <c r="N6" s="378">
        <f>FY!Q75</f>
        <v>35.896245898733802</v>
      </c>
      <c r="O6" s="386"/>
    </row>
    <row r="7" spans="3:17" ht="13.5" customHeight="1" x14ac:dyDescent="0.25">
      <c r="C7" s="376"/>
      <c r="D7" s="380" t="s">
        <v>1302</v>
      </c>
      <c r="E7" s="381">
        <v>7.2</v>
      </c>
      <c r="F7" s="381">
        <v>-7.1</v>
      </c>
      <c r="G7" s="381">
        <v>16.471692986595372</v>
      </c>
      <c r="H7" s="381">
        <v>21.580367708525142</v>
      </c>
      <c r="I7" s="381">
        <v>25.531053994271389</v>
      </c>
      <c r="J7" s="381">
        <v>28.423655630834983</v>
      </c>
      <c r="K7" s="381">
        <v>30.971771014470328</v>
      </c>
      <c r="L7" s="381">
        <v>32.533472289193867</v>
      </c>
      <c r="M7" s="381">
        <v>34.173652009373534</v>
      </c>
      <c r="N7" s="381">
        <v>35.896245898733802</v>
      </c>
      <c r="O7" s="382"/>
      <c r="P7" s="382"/>
    </row>
    <row r="8" spans="3:17" ht="13.5" customHeight="1" x14ac:dyDescent="0.25">
      <c r="C8" s="383"/>
      <c r="D8" s="384" t="s">
        <v>1303</v>
      </c>
      <c r="E8" s="385">
        <f t="shared" ref="E8:J8" si="2">E6/E7-1</f>
        <v>0</v>
      </c>
      <c r="F8" s="385">
        <f t="shared" si="2"/>
        <v>0</v>
      </c>
      <c r="G8" s="385">
        <f t="shared" si="2"/>
        <v>0</v>
      </c>
      <c r="H8" s="385">
        <f t="shared" si="2"/>
        <v>0</v>
      </c>
      <c r="I8" s="385">
        <f t="shared" si="2"/>
        <v>0</v>
      </c>
      <c r="J8" s="385">
        <f t="shared" si="2"/>
        <v>0</v>
      </c>
      <c r="K8" s="385">
        <f t="shared" ref="K8:N8" si="3">K6/K7-1</f>
        <v>0</v>
      </c>
      <c r="L8" s="385">
        <f t="shared" si="3"/>
        <v>0</v>
      </c>
      <c r="M8" s="385">
        <f t="shared" si="3"/>
        <v>0</v>
      </c>
      <c r="N8" s="385">
        <f t="shared" si="3"/>
        <v>0</v>
      </c>
      <c r="O8" s="387"/>
    </row>
    <row r="9" spans="3:17" s="370" customFormat="1" ht="13.5" customHeight="1" x14ac:dyDescent="0.25">
      <c r="C9" s="528" t="s">
        <v>84</v>
      </c>
      <c r="D9" s="377" t="s">
        <v>1301</v>
      </c>
      <c r="E9" s="378">
        <f>FY!H82</f>
        <v>4.8</v>
      </c>
      <c r="F9" s="378">
        <f>FY!I82</f>
        <v>-20.7</v>
      </c>
      <c r="G9" s="378">
        <f>FY!J82</f>
        <v>3.6193085339701412</v>
      </c>
      <c r="H9" s="378">
        <f>FY!K82</f>
        <v>6.5389652960691036</v>
      </c>
      <c r="I9" s="378">
        <f>FY!L82</f>
        <v>8.6409051703592379</v>
      </c>
      <c r="J9" s="378">
        <f>FY!M82</f>
        <v>10.712787669571457</v>
      </c>
      <c r="K9" s="378">
        <f>FY!N82</f>
        <v>12.619120494971572</v>
      </c>
      <c r="L9" s="378">
        <f>FY!O82</f>
        <v>13.782771919630491</v>
      </c>
      <c r="M9" s="378">
        <f>FY!P82</f>
        <v>14.964467717967109</v>
      </c>
      <c r="N9" s="378">
        <f>FY!Q82</f>
        <v>16.16350819361967</v>
      </c>
      <c r="O9" s="386"/>
    </row>
    <row r="10" spans="3:17" ht="13.5" customHeight="1" x14ac:dyDescent="0.25">
      <c r="C10" s="528"/>
      <c r="D10" s="380" t="s">
        <v>1302</v>
      </c>
      <c r="E10" s="381">
        <v>4.8</v>
      </c>
      <c r="F10" s="381">
        <v>-20.7</v>
      </c>
      <c r="G10" s="381">
        <v>3.6193085339701412</v>
      </c>
      <c r="H10" s="381">
        <v>6.5389652960691036</v>
      </c>
      <c r="I10" s="381">
        <v>8.6409051703592379</v>
      </c>
      <c r="J10" s="381">
        <v>10.712787669571457</v>
      </c>
      <c r="K10" s="381">
        <v>12.619120494971572</v>
      </c>
      <c r="L10" s="381">
        <v>13.782771919630491</v>
      </c>
      <c r="M10" s="381">
        <v>14.964467717967109</v>
      </c>
      <c r="N10" s="381">
        <v>16.16350819361967</v>
      </c>
      <c r="O10" s="382"/>
      <c r="Q10" s="370"/>
    </row>
    <row r="11" spans="3:17" ht="13.5" customHeight="1" x14ac:dyDescent="0.25">
      <c r="C11" s="529"/>
      <c r="D11" s="384" t="s">
        <v>1303</v>
      </c>
      <c r="E11" s="385">
        <f t="shared" ref="E11:J11" si="4">E9/E10-1</f>
        <v>0</v>
      </c>
      <c r="F11" s="385">
        <f t="shared" si="4"/>
        <v>0</v>
      </c>
      <c r="G11" s="385">
        <f t="shared" si="4"/>
        <v>0</v>
      </c>
      <c r="H11" s="385">
        <f t="shared" si="4"/>
        <v>0</v>
      </c>
      <c r="I11" s="385">
        <f t="shared" si="4"/>
        <v>0</v>
      </c>
      <c r="J11" s="385">
        <f t="shared" si="4"/>
        <v>0</v>
      </c>
      <c r="K11" s="385">
        <f t="shared" ref="K11:N11" si="5">K9/K10-1</f>
        <v>0</v>
      </c>
      <c r="L11" s="385">
        <f t="shared" si="5"/>
        <v>0</v>
      </c>
      <c r="M11" s="385">
        <f t="shared" si="5"/>
        <v>0</v>
      </c>
      <c r="N11" s="385">
        <f t="shared" si="5"/>
        <v>0</v>
      </c>
      <c r="O11" s="387"/>
    </row>
    <row r="12" spans="3:17" s="370" customFormat="1" ht="13.5" customHeight="1" x14ac:dyDescent="0.25">
      <c r="C12" s="528" t="s">
        <v>8</v>
      </c>
      <c r="D12" s="377" t="s">
        <v>1301</v>
      </c>
      <c r="E12" s="388"/>
      <c r="F12" s="388"/>
      <c r="G12" s="388">
        <f ca="1">HY!D607</f>
        <v>0.27</v>
      </c>
      <c r="H12" s="389"/>
      <c r="I12" s="389"/>
      <c r="J12" s="389"/>
      <c r="K12" s="389"/>
      <c r="L12" s="389"/>
      <c r="M12" s="389"/>
      <c r="N12" s="389"/>
      <c r="O12" s="386"/>
    </row>
    <row r="13" spans="3:17" ht="13.5" customHeight="1" x14ac:dyDescent="0.25">
      <c r="C13" s="528"/>
      <c r="D13" s="380" t="s">
        <v>1302</v>
      </c>
      <c r="E13" s="390"/>
      <c r="F13" s="390"/>
      <c r="G13" s="390">
        <v>0.27</v>
      </c>
      <c r="H13" s="391"/>
      <c r="I13" s="391"/>
      <c r="J13" s="391"/>
      <c r="K13" s="391"/>
      <c r="L13" s="391"/>
      <c r="M13" s="391"/>
      <c r="N13" s="391"/>
      <c r="O13" s="382"/>
    </row>
    <row r="14" spans="3:17" ht="13.5" customHeight="1" x14ac:dyDescent="0.25">
      <c r="C14" s="529"/>
      <c r="D14" s="384" t="s">
        <v>1303</v>
      </c>
      <c r="E14" s="385"/>
      <c r="F14" s="385"/>
      <c r="G14" s="385">
        <f ca="1">G12/G13-1</f>
        <v>0</v>
      </c>
      <c r="H14" s="392"/>
      <c r="I14" s="392"/>
      <c r="J14" s="392"/>
      <c r="K14" s="392"/>
      <c r="L14" s="392"/>
      <c r="M14" s="392"/>
      <c r="N14" s="392"/>
      <c r="O14" s="382"/>
    </row>
    <row r="15" spans="3:17" x14ac:dyDescent="0.25">
      <c r="C15" s="393"/>
      <c r="D15" s="394"/>
      <c r="E15" s="395"/>
      <c r="F15" s="395"/>
      <c r="G15" s="395"/>
      <c r="H15" s="395"/>
      <c r="I15" s="395"/>
      <c r="J15" s="395"/>
      <c r="K15" s="395"/>
      <c r="L15" s="395"/>
      <c r="M15" s="395"/>
      <c r="N15" s="395"/>
      <c r="O15" s="382"/>
    </row>
    <row r="16" spans="3:17" x14ac:dyDescent="0.25">
      <c r="C16" s="373"/>
      <c r="D16" s="374"/>
      <c r="E16" s="375" t="s">
        <v>1299</v>
      </c>
      <c r="F16" s="375" t="s">
        <v>1300</v>
      </c>
      <c r="G16" s="375" t="str">
        <f>FY!J6</f>
        <v>FY27E</v>
      </c>
      <c r="H16" s="375" t="str">
        <f>FY!K6</f>
        <v>FY28E</v>
      </c>
      <c r="I16" s="375" t="str">
        <f>FY!L6</f>
        <v>FY29E</v>
      </c>
      <c r="J16" s="375" t="str">
        <f>FY!M6</f>
        <v>FY30E</v>
      </c>
      <c r="K16" s="375" t="str">
        <f>FY!N6</f>
        <v>FY31E</v>
      </c>
      <c r="L16" s="375" t="str">
        <f>FY!O6</f>
        <v>FY32E</v>
      </c>
      <c r="M16" s="375" t="str">
        <f>FY!P6</f>
        <v>FY33E</v>
      </c>
      <c r="N16" s="375" t="str">
        <f>FY!Q6</f>
        <v>FY34E</v>
      </c>
    </row>
    <row r="17" spans="3:14" x14ac:dyDescent="0.25">
      <c r="C17" s="376" t="s">
        <v>35</v>
      </c>
      <c r="D17" s="377" t="s">
        <v>1301</v>
      </c>
      <c r="E17" s="378">
        <f>FY!H12</f>
        <v>1420.4</v>
      </c>
      <c r="F17" s="378">
        <f>FY!I12</f>
        <v>1594.7</v>
      </c>
      <c r="G17" s="378">
        <f>FY!J12</f>
        <v>1722.674</v>
      </c>
      <c r="H17" s="378">
        <f>FY!K12</f>
        <v>1808.8077000000003</v>
      </c>
      <c r="I17" s="378">
        <f>FY!L12</f>
        <v>1899.2480850000002</v>
      </c>
      <c r="J17" s="378">
        <f>FY!M12</f>
        <v>1994.2104892500006</v>
      </c>
      <c r="K17" s="378">
        <f>FY!N12</f>
        <v>2093.9210137125006</v>
      </c>
      <c r="L17" s="378">
        <f>FY!O12</f>
        <v>2198.6170643981259</v>
      </c>
      <c r="M17" s="378">
        <f>FY!P12</f>
        <v>2308.547917618032</v>
      </c>
      <c r="N17" s="378">
        <f>FY!Q12</f>
        <v>2423.9753134989337</v>
      </c>
    </row>
    <row r="18" spans="3:14" x14ac:dyDescent="0.25">
      <c r="C18" s="376"/>
      <c r="D18" s="380" t="s">
        <v>1302</v>
      </c>
      <c r="E18" s="381">
        <v>1420.4</v>
      </c>
      <c r="F18" s="381">
        <v>1594.7</v>
      </c>
      <c r="G18" s="381">
        <v>1722.674</v>
      </c>
      <c r="H18" s="381">
        <v>1808.8077000000003</v>
      </c>
      <c r="I18" s="381">
        <v>1899.2480850000002</v>
      </c>
      <c r="J18" s="381">
        <v>1994.2104892500006</v>
      </c>
      <c r="K18" s="381">
        <v>2093.9210137125006</v>
      </c>
      <c r="L18" s="381">
        <v>2198.6170643981259</v>
      </c>
      <c r="M18" s="381">
        <v>2308.547917618032</v>
      </c>
      <c r="N18" s="381">
        <v>2423.9753134989337</v>
      </c>
    </row>
    <row r="19" spans="3:14" x14ac:dyDescent="0.25">
      <c r="C19" s="383"/>
      <c r="D19" s="384" t="s">
        <v>1303</v>
      </c>
      <c r="E19" s="385">
        <f t="shared" ref="E19:J19" si="6">E17/E18-1</f>
        <v>0</v>
      </c>
      <c r="F19" s="385">
        <f t="shared" si="6"/>
        <v>0</v>
      </c>
      <c r="G19" s="385">
        <f t="shared" si="6"/>
        <v>0</v>
      </c>
      <c r="H19" s="385">
        <f t="shared" si="6"/>
        <v>0</v>
      </c>
      <c r="I19" s="385">
        <f t="shared" si="6"/>
        <v>0</v>
      </c>
      <c r="J19" s="385">
        <f t="shared" si="6"/>
        <v>0</v>
      </c>
      <c r="K19" s="385">
        <f t="shared" ref="K19:N19" si="7">K17/K18-1</f>
        <v>0</v>
      </c>
      <c r="L19" s="385">
        <f t="shared" si="7"/>
        <v>0</v>
      </c>
      <c r="M19" s="385">
        <f t="shared" si="7"/>
        <v>0</v>
      </c>
      <c r="N19" s="385">
        <f t="shared" si="7"/>
        <v>0</v>
      </c>
    </row>
    <row r="20" spans="3:14" x14ac:dyDescent="0.25">
      <c r="C20" s="376" t="s">
        <v>42</v>
      </c>
      <c r="D20" s="377" t="s">
        <v>1301</v>
      </c>
      <c r="E20" s="378">
        <f>FY!H14</f>
        <v>196.2</v>
      </c>
      <c r="F20" s="378">
        <f>FY!I14</f>
        <v>215.7</v>
      </c>
      <c r="G20" s="378">
        <f>FY!J14</f>
        <v>242.95042000000001</v>
      </c>
      <c r="H20" s="378">
        <f>FY!K14</f>
        <v>255.09794100000005</v>
      </c>
      <c r="I20" s="378">
        <f>FY!L14</f>
        <v>267.85283805000006</v>
      </c>
      <c r="J20" s="378">
        <f>FY!M14</f>
        <v>281.24547995250009</v>
      </c>
      <c r="K20" s="378">
        <f>FY!N14</f>
        <v>295.30775395012506</v>
      </c>
      <c r="L20" s="378">
        <f>FY!O14</f>
        <v>310.07314164763136</v>
      </c>
      <c r="M20" s="378">
        <f>FY!P14</f>
        <v>325.57679873001291</v>
      </c>
      <c r="N20" s="378">
        <f>FY!Q14</f>
        <v>341.85563866651358</v>
      </c>
    </row>
    <row r="21" spans="3:14" x14ac:dyDescent="0.25">
      <c r="C21" s="376"/>
      <c r="D21" s="380" t="s">
        <v>1302</v>
      </c>
      <c r="E21" s="381">
        <v>196.2</v>
      </c>
      <c r="F21" s="381">
        <v>215.7</v>
      </c>
      <c r="G21" s="381">
        <v>242.95042000000001</v>
      </c>
      <c r="H21" s="381">
        <v>255.09794100000005</v>
      </c>
      <c r="I21" s="381">
        <v>267.85283805000006</v>
      </c>
      <c r="J21" s="381">
        <v>281.24547995250009</v>
      </c>
      <c r="K21" s="381">
        <v>295.30775395012506</v>
      </c>
      <c r="L21" s="381">
        <v>310.07314164763136</v>
      </c>
      <c r="M21" s="381">
        <v>325.57679873001291</v>
      </c>
      <c r="N21" s="381">
        <v>341.85563866651358</v>
      </c>
    </row>
    <row r="22" spans="3:14" x14ac:dyDescent="0.25">
      <c r="C22" s="383"/>
      <c r="D22" s="384" t="s">
        <v>1303</v>
      </c>
      <c r="E22" s="385">
        <f t="shared" ref="E22:J22" si="8">E20/E21-1</f>
        <v>0</v>
      </c>
      <c r="F22" s="385">
        <f t="shared" si="8"/>
        <v>0</v>
      </c>
      <c r="G22" s="385">
        <f t="shared" si="8"/>
        <v>0</v>
      </c>
      <c r="H22" s="385">
        <f t="shared" si="8"/>
        <v>0</v>
      </c>
      <c r="I22" s="385">
        <f t="shared" si="8"/>
        <v>0</v>
      </c>
      <c r="J22" s="385">
        <f t="shared" si="8"/>
        <v>0</v>
      </c>
      <c r="K22" s="385">
        <f t="shared" ref="K22:N22" si="9">K20/K21-1</f>
        <v>0</v>
      </c>
      <c r="L22" s="385">
        <f t="shared" si="9"/>
        <v>0</v>
      </c>
      <c r="M22" s="385">
        <f t="shared" si="9"/>
        <v>0</v>
      </c>
      <c r="N22" s="385">
        <f t="shared" si="9"/>
        <v>0</v>
      </c>
    </row>
    <row r="23" spans="3:14" x14ac:dyDescent="0.25">
      <c r="C23" s="528" t="s">
        <v>43</v>
      </c>
      <c r="D23" s="377" t="s">
        <v>1301</v>
      </c>
      <c r="E23" s="378">
        <f>FY!H20</f>
        <v>147.80000000000001</v>
      </c>
      <c r="F23" s="378">
        <f>FY!I20</f>
        <v>158.1</v>
      </c>
      <c r="G23" s="378">
        <f>FY!J20</f>
        <v>183.33131600000002</v>
      </c>
      <c r="H23" s="378">
        <f>FY!K20</f>
        <v>192.49788180000002</v>
      </c>
      <c r="I23" s="378">
        <f>FY!L20</f>
        <v>202.12277589000001</v>
      </c>
      <c r="J23" s="378">
        <f>FY!M20</f>
        <v>212.22891468450007</v>
      </c>
      <c r="K23" s="378">
        <f>FY!N20</f>
        <v>222.84036041872503</v>
      </c>
      <c r="L23" s="378">
        <f>FY!O20</f>
        <v>233.98237843966135</v>
      </c>
      <c r="M23" s="378">
        <f>FY!P20</f>
        <v>245.6814973616444</v>
      </c>
      <c r="N23" s="378">
        <f>FY!Q20</f>
        <v>257.9655722297266</v>
      </c>
    </row>
    <row r="24" spans="3:14" x14ac:dyDescent="0.25">
      <c r="C24" s="528"/>
      <c r="D24" s="380" t="s">
        <v>1302</v>
      </c>
      <c r="E24" s="381">
        <v>147.80000000000001</v>
      </c>
      <c r="F24" s="381">
        <v>158.1</v>
      </c>
      <c r="G24" s="381">
        <v>183.33131600000002</v>
      </c>
      <c r="H24" s="381">
        <v>192.49788180000002</v>
      </c>
      <c r="I24" s="381">
        <v>202.12277589000001</v>
      </c>
      <c r="J24" s="381">
        <v>212.22891468450007</v>
      </c>
      <c r="K24" s="381">
        <v>222.84036041872503</v>
      </c>
      <c r="L24" s="381">
        <v>233.98237843966135</v>
      </c>
      <c r="M24" s="381">
        <v>245.6814973616444</v>
      </c>
      <c r="N24" s="381">
        <v>257.9655722297266</v>
      </c>
    </row>
    <row r="25" spans="3:14" x14ac:dyDescent="0.25">
      <c r="C25" s="529"/>
      <c r="D25" s="384" t="s">
        <v>1303</v>
      </c>
      <c r="E25" s="385">
        <f t="shared" ref="E25:J25" si="10">E23/E24-1</f>
        <v>0</v>
      </c>
      <c r="F25" s="385">
        <f t="shared" si="10"/>
        <v>0</v>
      </c>
      <c r="G25" s="385">
        <f t="shared" si="10"/>
        <v>0</v>
      </c>
      <c r="H25" s="385">
        <f t="shared" si="10"/>
        <v>0</v>
      </c>
      <c r="I25" s="385">
        <f t="shared" si="10"/>
        <v>0</v>
      </c>
      <c r="J25" s="385">
        <f t="shared" si="10"/>
        <v>0</v>
      </c>
      <c r="K25" s="385">
        <f t="shared" ref="K25:N25" si="11">K23/K24-1</f>
        <v>0</v>
      </c>
      <c r="L25" s="385">
        <f t="shared" si="11"/>
        <v>0</v>
      </c>
      <c r="M25" s="385">
        <f t="shared" si="11"/>
        <v>0</v>
      </c>
      <c r="N25" s="385">
        <f t="shared" si="11"/>
        <v>0</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sheetPr>
  <dimension ref="F4:F133"/>
  <sheetViews>
    <sheetView workbookViewId="0">
      <selection activeCell="O26" sqref="O26"/>
    </sheetView>
  </sheetViews>
  <sheetFormatPr defaultRowHeight="15" x14ac:dyDescent="0.25"/>
  <cols>
    <col min="6" max="6" width="10.7109375" bestFit="1" customWidth="1"/>
  </cols>
  <sheetData>
    <row r="4" spans="6:6" x14ac:dyDescent="0.25">
      <c r="F4" s="399"/>
    </row>
    <row r="5" spans="6:6" x14ac:dyDescent="0.25">
      <c r="F5" s="399"/>
    </row>
    <row r="6" spans="6:6" x14ac:dyDescent="0.25">
      <c r="F6" s="399"/>
    </row>
    <row r="7" spans="6:6" x14ac:dyDescent="0.25">
      <c r="F7" s="399"/>
    </row>
    <row r="8" spans="6:6" x14ac:dyDescent="0.25">
      <c r="F8" s="399"/>
    </row>
    <row r="9" spans="6:6" x14ac:dyDescent="0.25">
      <c r="F9" s="399"/>
    </row>
    <row r="10" spans="6:6" x14ac:dyDescent="0.25">
      <c r="F10" s="399"/>
    </row>
    <row r="11" spans="6:6" x14ac:dyDescent="0.25">
      <c r="F11" s="399"/>
    </row>
    <row r="12" spans="6:6" x14ac:dyDescent="0.25">
      <c r="F12" s="399"/>
    </row>
    <row r="13" spans="6:6" x14ac:dyDescent="0.25">
      <c r="F13" s="399"/>
    </row>
    <row r="14" spans="6:6" x14ac:dyDescent="0.25">
      <c r="F14" s="399"/>
    </row>
    <row r="15" spans="6:6" x14ac:dyDescent="0.25">
      <c r="F15" s="399"/>
    </row>
    <row r="16" spans="6:6" x14ac:dyDescent="0.25">
      <c r="F16" s="399"/>
    </row>
    <row r="17" spans="6:6" x14ac:dyDescent="0.25">
      <c r="F17" s="399"/>
    </row>
    <row r="18" spans="6:6" x14ac:dyDescent="0.25">
      <c r="F18" s="399"/>
    </row>
    <row r="19" spans="6:6" x14ac:dyDescent="0.25">
      <c r="F19" s="399"/>
    </row>
    <row r="20" spans="6:6" x14ac:dyDescent="0.25">
      <c r="F20" s="399"/>
    </row>
    <row r="21" spans="6:6" x14ac:dyDescent="0.25">
      <c r="F21" s="399"/>
    </row>
    <row r="22" spans="6:6" x14ac:dyDescent="0.25">
      <c r="F22" s="399"/>
    </row>
    <row r="23" spans="6:6" x14ac:dyDescent="0.25">
      <c r="F23" s="399"/>
    </row>
    <row r="24" spans="6:6" x14ac:dyDescent="0.25">
      <c r="F24" s="399"/>
    </row>
    <row r="25" spans="6:6" x14ac:dyDescent="0.25">
      <c r="F25" s="399"/>
    </row>
    <row r="26" spans="6:6" x14ac:dyDescent="0.25">
      <c r="F26" s="399"/>
    </row>
    <row r="27" spans="6:6" x14ac:dyDescent="0.25">
      <c r="F27" s="399"/>
    </row>
    <row r="28" spans="6:6" x14ac:dyDescent="0.25">
      <c r="F28" s="399"/>
    </row>
    <row r="29" spans="6:6" x14ac:dyDescent="0.25">
      <c r="F29" s="399"/>
    </row>
    <row r="30" spans="6:6" x14ac:dyDescent="0.25">
      <c r="F30" s="399"/>
    </row>
    <row r="31" spans="6:6" x14ac:dyDescent="0.25">
      <c r="F31" s="399"/>
    </row>
    <row r="32" spans="6:6" x14ac:dyDescent="0.25">
      <c r="F32" s="399"/>
    </row>
    <row r="33" spans="6:6" x14ac:dyDescent="0.25">
      <c r="F33" s="399"/>
    </row>
    <row r="34" spans="6:6" x14ac:dyDescent="0.25">
      <c r="F34" s="399"/>
    </row>
    <row r="35" spans="6:6" x14ac:dyDescent="0.25">
      <c r="F35" s="399"/>
    </row>
    <row r="36" spans="6:6" x14ac:dyDescent="0.25">
      <c r="F36" s="399"/>
    </row>
    <row r="37" spans="6:6" x14ac:dyDescent="0.25">
      <c r="F37" s="399"/>
    </row>
    <row r="38" spans="6:6" x14ac:dyDescent="0.25">
      <c r="F38" s="399"/>
    </row>
    <row r="39" spans="6:6" x14ac:dyDescent="0.25">
      <c r="F39" s="399"/>
    </row>
    <row r="40" spans="6:6" x14ac:dyDescent="0.25">
      <c r="F40" s="399"/>
    </row>
    <row r="41" spans="6:6" x14ac:dyDescent="0.25">
      <c r="F41" s="399"/>
    </row>
    <row r="42" spans="6:6" x14ac:dyDescent="0.25">
      <c r="F42" s="399"/>
    </row>
    <row r="43" spans="6:6" x14ac:dyDescent="0.25">
      <c r="F43" s="399"/>
    </row>
    <row r="44" spans="6:6" x14ac:dyDescent="0.25">
      <c r="F44" s="399"/>
    </row>
    <row r="45" spans="6:6" x14ac:dyDescent="0.25">
      <c r="F45" s="399"/>
    </row>
    <row r="46" spans="6:6" x14ac:dyDescent="0.25">
      <c r="F46" s="399"/>
    </row>
    <row r="47" spans="6:6" x14ac:dyDescent="0.25">
      <c r="F47" s="399"/>
    </row>
    <row r="48" spans="6:6" x14ac:dyDescent="0.25">
      <c r="F48" s="399"/>
    </row>
    <row r="49" spans="6:6" x14ac:dyDescent="0.25">
      <c r="F49" s="399"/>
    </row>
    <row r="50" spans="6:6" x14ac:dyDescent="0.25">
      <c r="F50" s="399"/>
    </row>
    <row r="51" spans="6:6" x14ac:dyDescent="0.25">
      <c r="F51" s="399"/>
    </row>
    <row r="52" spans="6:6" x14ac:dyDescent="0.25">
      <c r="F52" s="399"/>
    </row>
    <row r="53" spans="6:6" x14ac:dyDescent="0.25">
      <c r="F53" s="399"/>
    </row>
    <row r="54" spans="6:6" x14ac:dyDescent="0.25">
      <c r="F54" s="399"/>
    </row>
    <row r="55" spans="6:6" x14ac:dyDescent="0.25">
      <c r="F55" s="399"/>
    </row>
    <row r="56" spans="6:6" x14ac:dyDescent="0.25">
      <c r="F56" s="399"/>
    </row>
    <row r="57" spans="6:6" x14ac:dyDescent="0.25">
      <c r="F57" s="399"/>
    </row>
    <row r="58" spans="6:6" x14ac:dyDescent="0.25">
      <c r="F58" s="399"/>
    </row>
    <row r="59" spans="6:6" x14ac:dyDescent="0.25">
      <c r="F59" s="399"/>
    </row>
    <row r="60" spans="6:6" x14ac:dyDescent="0.25">
      <c r="F60" s="399"/>
    </row>
    <row r="61" spans="6:6" x14ac:dyDescent="0.25">
      <c r="F61" s="399"/>
    </row>
    <row r="62" spans="6:6" x14ac:dyDescent="0.25">
      <c r="F62" s="399"/>
    </row>
    <row r="63" spans="6:6" x14ac:dyDescent="0.25">
      <c r="F63" s="399"/>
    </row>
    <row r="64" spans="6:6" x14ac:dyDescent="0.25">
      <c r="F64" s="399"/>
    </row>
    <row r="65" spans="6:6" x14ac:dyDescent="0.25">
      <c r="F65" s="399"/>
    </row>
    <row r="66" spans="6:6" x14ac:dyDescent="0.25">
      <c r="F66" s="399"/>
    </row>
    <row r="67" spans="6:6" x14ac:dyDescent="0.25">
      <c r="F67" s="399"/>
    </row>
    <row r="68" spans="6:6" x14ac:dyDescent="0.25">
      <c r="F68" s="399"/>
    </row>
    <row r="69" spans="6:6" x14ac:dyDescent="0.25">
      <c r="F69" s="399"/>
    </row>
    <row r="70" spans="6:6" x14ac:dyDescent="0.25">
      <c r="F70" s="399"/>
    </row>
    <row r="71" spans="6:6" x14ac:dyDescent="0.25">
      <c r="F71" s="399"/>
    </row>
    <row r="72" spans="6:6" x14ac:dyDescent="0.25">
      <c r="F72" s="399"/>
    </row>
    <row r="73" spans="6:6" x14ac:dyDescent="0.25">
      <c r="F73" s="399"/>
    </row>
    <row r="74" spans="6:6" x14ac:dyDescent="0.25">
      <c r="F74" s="399"/>
    </row>
    <row r="75" spans="6:6" x14ac:dyDescent="0.25">
      <c r="F75" s="399"/>
    </row>
    <row r="76" spans="6:6" x14ac:dyDescent="0.25">
      <c r="F76" s="399"/>
    </row>
    <row r="77" spans="6:6" x14ac:dyDescent="0.25">
      <c r="F77" s="399"/>
    </row>
    <row r="78" spans="6:6" x14ac:dyDescent="0.25">
      <c r="F78" s="399"/>
    </row>
    <row r="79" spans="6:6" x14ac:dyDescent="0.25">
      <c r="F79" s="399"/>
    </row>
    <row r="80" spans="6:6" x14ac:dyDescent="0.25">
      <c r="F80" s="399"/>
    </row>
    <row r="81" spans="6:6" x14ac:dyDescent="0.25">
      <c r="F81" s="399"/>
    </row>
    <row r="82" spans="6:6" x14ac:dyDescent="0.25">
      <c r="F82" s="399"/>
    </row>
    <row r="83" spans="6:6" x14ac:dyDescent="0.25">
      <c r="F83" s="399"/>
    </row>
    <row r="84" spans="6:6" x14ac:dyDescent="0.25">
      <c r="F84" s="399"/>
    </row>
    <row r="85" spans="6:6" x14ac:dyDescent="0.25">
      <c r="F85" s="399"/>
    </row>
    <row r="86" spans="6:6" x14ac:dyDescent="0.25">
      <c r="F86" s="399"/>
    </row>
    <row r="87" spans="6:6" x14ac:dyDescent="0.25">
      <c r="F87" s="399"/>
    </row>
    <row r="88" spans="6:6" x14ac:dyDescent="0.25">
      <c r="F88" s="399"/>
    </row>
    <row r="89" spans="6:6" x14ac:dyDescent="0.25">
      <c r="F89" s="399"/>
    </row>
    <row r="90" spans="6:6" x14ac:dyDescent="0.25">
      <c r="F90" s="399"/>
    </row>
    <row r="91" spans="6:6" x14ac:dyDescent="0.25">
      <c r="F91" s="399"/>
    </row>
    <row r="92" spans="6:6" x14ac:dyDescent="0.25">
      <c r="F92" s="399"/>
    </row>
    <row r="93" spans="6:6" x14ac:dyDescent="0.25">
      <c r="F93" s="399"/>
    </row>
    <row r="94" spans="6:6" x14ac:dyDescent="0.25">
      <c r="F94" s="399"/>
    </row>
    <row r="95" spans="6:6" x14ac:dyDescent="0.25">
      <c r="F95" s="399"/>
    </row>
    <row r="96" spans="6:6" x14ac:dyDescent="0.25">
      <c r="F96" s="399"/>
    </row>
    <row r="97" spans="6:6" x14ac:dyDescent="0.25">
      <c r="F97" s="399"/>
    </row>
    <row r="98" spans="6:6" x14ac:dyDescent="0.25">
      <c r="F98" s="399"/>
    </row>
    <row r="99" spans="6:6" x14ac:dyDescent="0.25">
      <c r="F99" s="399"/>
    </row>
    <row r="100" spans="6:6" x14ac:dyDescent="0.25">
      <c r="F100" s="399"/>
    </row>
    <row r="101" spans="6:6" x14ac:dyDescent="0.25">
      <c r="F101" s="399"/>
    </row>
    <row r="102" spans="6:6" x14ac:dyDescent="0.25">
      <c r="F102" s="399"/>
    </row>
    <row r="103" spans="6:6" x14ac:dyDescent="0.25">
      <c r="F103" s="399"/>
    </row>
    <row r="104" spans="6:6" x14ac:dyDescent="0.25">
      <c r="F104" s="399"/>
    </row>
    <row r="105" spans="6:6" x14ac:dyDescent="0.25">
      <c r="F105" s="399"/>
    </row>
    <row r="106" spans="6:6" x14ac:dyDescent="0.25">
      <c r="F106" s="399"/>
    </row>
    <row r="107" spans="6:6" x14ac:dyDescent="0.25">
      <c r="F107" s="399"/>
    </row>
    <row r="108" spans="6:6" x14ac:dyDescent="0.25">
      <c r="F108" s="399"/>
    </row>
    <row r="109" spans="6:6" x14ac:dyDescent="0.25">
      <c r="F109" s="399"/>
    </row>
    <row r="110" spans="6:6" x14ac:dyDescent="0.25">
      <c r="F110" s="399"/>
    </row>
    <row r="111" spans="6:6" x14ac:dyDescent="0.25">
      <c r="F111" s="399"/>
    </row>
    <row r="112" spans="6:6" x14ac:dyDescent="0.25">
      <c r="F112" s="399"/>
    </row>
    <row r="113" spans="6:6" x14ac:dyDescent="0.25">
      <c r="F113" s="399"/>
    </row>
    <row r="114" spans="6:6" x14ac:dyDescent="0.25">
      <c r="F114" s="399"/>
    </row>
    <row r="115" spans="6:6" x14ac:dyDescent="0.25">
      <c r="F115" s="399"/>
    </row>
    <row r="116" spans="6:6" x14ac:dyDescent="0.25">
      <c r="F116" s="399"/>
    </row>
    <row r="117" spans="6:6" x14ac:dyDescent="0.25">
      <c r="F117" s="399"/>
    </row>
    <row r="118" spans="6:6" x14ac:dyDescent="0.25">
      <c r="F118" s="399"/>
    </row>
    <row r="119" spans="6:6" x14ac:dyDescent="0.25">
      <c r="F119" s="399"/>
    </row>
    <row r="120" spans="6:6" x14ac:dyDescent="0.25">
      <c r="F120" s="399"/>
    </row>
    <row r="121" spans="6:6" x14ac:dyDescent="0.25">
      <c r="F121" s="399"/>
    </row>
    <row r="122" spans="6:6" x14ac:dyDescent="0.25">
      <c r="F122" s="399"/>
    </row>
    <row r="123" spans="6:6" x14ac:dyDescent="0.25">
      <c r="F123" s="399"/>
    </row>
    <row r="124" spans="6:6" x14ac:dyDescent="0.25">
      <c r="F124" s="399"/>
    </row>
    <row r="125" spans="6:6" x14ac:dyDescent="0.25">
      <c r="F125" s="399"/>
    </row>
    <row r="126" spans="6:6" x14ac:dyDescent="0.25">
      <c r="F126" s="399"/>
    </row>
    <row r="127" spans="6:6" x14ac:dyDescent="0.25">
      <c r="F127" s="399"/>
    </row>
    <row r="128" spans="6:6" x14ac:dyDescent="0.25">
      <c r="F128" s="399"/>
    </row>
    <row r="129" spans="6:6" x14ac:dyDescent="0.25">
      <c r="F129" s="399"/>
    </row>
    <row r="130" spans="6:6" x14ac:dyDescent="0.25">
      <c r="F130" s="399"/>
    </row>
    <row r="131" spans="6:6" x14ac:dyDescent="0.25">
      <c r="F131" s="399"/>
    </row>
    <row r="132" spans="6:6" x14ac:dyDescent="0.25">
      <c r="F132" s="399"/>
    </row>
    <row r="133" spans="6:6" x14ac:dyDescent="0.25">
      <c r="F133" s="39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64DF-5394-4F2E-8A59-CF1C9A4B92FE}">
  <sheetPr>
    <tabColor theme="9" tint="0.79998168889431442"/>
  </sheetPr>
  <dimension ref="B2:I10"/>
  <sheetViews>
    <sheetView tabSelected="1" workbookViewId="0">
      <selection activeCell="H2" sqref="H2:I7"/>
    </sheetView>
  </sheetViews>
  <sheetFormatPr defaultRowHeight="15" x14ac:dyDescent="0.25"/>
  <cols>
    <col min="2" max="2" width="11.42578125" bestFit="1" customWidth="1"/>
    <col min="7" max="7" width="2.7109375" customWidth="1"/>
  </cols>
  <sheetData>
    <row r="2" spans="2:9" x14ac:dyDescent="0.25">
      <c r="B2" s="609"/>
      <c r="C2" s="610" t="s">
        <v>1271</v>
      </c>
      <c r="D2" s="610" t="s">
        <v>3</v>
      </c>
      <c r="E2" s="610" t="s">
        <v>403</v>
      </c>
      <c r="F2" s="610" t="s">
        <v>404</v>
      </c>
      <c r="H2" s="610" t="s">
        <v>1348</v>
      </c>
      <c r="I2" s="610" t="s">
        <v>1349</v>
      </c>
    </row>
    <row r="3" spans="2:9" x14ac:dyDescent="0.25">
      <c r="B3" s="611" t="s">
        <v>35</v>
      </c>
      <c r="C3" s="612">
        <f>HY!K64</f>
        <v>888.03</v>
      </c>
      <c r="D3" s="612">
        <f>FY!J12</f>
        <v>1722.674</v>
      </c>
      <c r="E3" s="612">
        <f>FY!K12</f>
        <v>1808.8077000000003</v>
      </c>
      <c r="F3" s="612">
        <f>FY!L12</f>
        <v>1899.2480850000002</v>
      </c>
      <c r="H3" s="612">
        <f>QTR!Y29</f>
        <v>413.82000000000005</v>
      </c>
      <c r="I3" s="612">
        <f>QTR!Z29</f>
        <v>473.28599999999994</v>
      </c>
    </row>
    <row r="4" spans="2:9" x14ac:dyDescent="0.25">
      <c r="B4" s="611" t="s">
        <v>42</v>
      </c>
      <c r="C4" s="612">
        <f>HY!K68</f>
        <v>126.10025999999999</v>
      </c>
      <c r="D4" s="612">
        <f>FY!J14</f>
        <v>242.95042000000001</v>
      </c>
      <c r="E4" s="612">
        <f>FY!K14</f>
        <v>255.09794100000005</v>
      </c>
      <c r="F4" s="612">
        <f>FY!L14</f>
        <v>267.85283805000006</v>
      </c>
      <c r="H4" s="612">
        <f>QTR!Y35</f>
        <v>59.176259999999999</v>
      </c>
      <c r="I4" s="612">
        <f>QTR!Z35</f>
        <v>67.67989799999998</v>
      </c>
    </row>
    <row r="5" spans="2:9" x14ac:dyDescent="0.25">
      <c r="B5" s="611" t="s">
        <v>39</v>
      </c>
      <c r="C5" s="613">
        <f>HY!K69</f>
        <v>0.14199999999999999</v>
      </c>
      <c r="D5" s="613">
        <f>FY!J15</f>
        <v>0.14103099019315321</v>
      </c>
      <c r="E5" s="613">
        <f>FY!K15</f>
        <v>0.14103099019315321</v>
      </c>
      <c r="F5" s="613">
        <f>FY!L15</f>
        <v>0.14103099019315321</v>
      </c>
      <c r="H5" s="613">
        <f>QTR!Y36</f>
        <v>0.14299999999999999</v>
      </c>
      <c r="I5" s="613">
        <f>QTR!Z36</f>
        <v>0.14299999999999999</v>
      </c>
    </row>
    <row r="6" spans="2:9" ht="15" customHeight="1" x14ac:dyDescent="0.25">
      <c r="B6" s="611" t="s">
        <v>43</v>
      </c>
      <c r="C6" s="612">
        <f>HY!K75</f>
        <v>92.355119999999999</v>
      </c>
      <c r="D6" s="612">
        <f>FY!J20</f>
        <v>183.33131600000002</v>
      </c>
      <c r="E6" s="612">
        <f>FY!K20</f>
        <v>192.49788180000002</v>
      </c>
      <c r="F6" s="612">
        <f>FY!L20</f>
        <v>202.12277589000001</v>
      </c>
      <c r="H6" s="612">
        <f>QTR!Y41</f>
        <v>44.278739999999999</v>
      </c>
      <c r="I6" s="612">
        <f>QTR!Z41</f>
        <v>49.695029999999981</v>
      </c>
    </row>
    <row r="7" spans="2:9" x14ac:dyDescent="0.25">
      <c r="B7" s="611" t="s">
        <v>39</v>
      </c>
      <c r="C7" s="613">
        <f>HY!K76</f>
        <v>0.10400000000000001</v>
      </c>
      <c r="D7" s="613">
        <f>FY!J21</f>
        <v>0.10642252451711701</v>
      </c>
      <c r="E7" s="613">
        <f>FY!K21</f>
        <v>0.10642252451711698</v>
      </c>
      <c r="F7" s="613">
        <f>FY!L21</f>
        <v>0.10642252451711699</v>
      </c>
      <c r="H7" s="613">
        <f>QTR!Y42</f>
        <v>0.10699999999999998</v>
      </c>
      <c r="I7" s="613">
        <f>QTR!Z42</f>
        <v>0.10499999999999997</v>
      </c>
    </row>
    <row r="8" spans="2:9" x14ac:dyDescent="0.25">
      <c r="B8" s="611" t="s">
        <v>74</v>
      </c>
      <c r="C8" s="612">
        <f>HY!K117</f>
        <v>-29.5</v>
      </c>
      <c r="D8" s="612">
        <f>FY!J52</f>
        <v>-55</v>
      </c>
      <c r="E8" s="612">
        <f>FY!K52</f>
        <v>-54.7196393774</v>
      </c>
      <c r="F8" s="612">
        <f>FY!L52</f>
        <v>-54.595953445950009</v>
      </c>
      <c r="H8" s="612"/>
      <c r="I8" s="612"/>
    </row>
    <row r="9" spans="2:9" x14ac:dyDescent="0.25">
      <c r="B9" s="611" t="s">
        <v>75</v>
      </c>
      <c r="C9" s="612">
        <f>HY!K119</f>
        <v>5.4973803647058688</v>
      </c>
      <c r="D9" s="612">
        <f>FY!J75</f>
        <v>16.471692986595372</v>
      </c>
      <c r="E9" s="612">
        <f>FY!K75</f>
        <v>21.580367708525142</v>
      </c>
      <c r="F9" s="612">
        <f>FY!L75</f>
        <v>25.531053994271389</v>
      </c>
      <c r="H9" s="612"/>
      <c r="I9" s="612"/>
    </row>
    <row r="10" spans="2:9" x14ac:dyDescent="0.25">
      <c r="B10" s="611" t="s">
        <v>84</v>
      </c>
      <c r="C10" s="612">
        <f>HY!K126</f>
        <v>-0.11526659759451616</v>
      </c>
      <c r="D10" s="612">
        <f>FY!J82</f>
        <v>3.6193085339701412</v>
      </c>
      <c r="E10" s="612">
        <f>FY!K82</f>
        <v>6.5389652960691036</v>
      </c>
      <c r="F10" s="612">
        <f>FY!L82</f>
        <v>8.6409051703592379</v>
      </c>
      <c r="H10" s="612"/>
      <c r="I10" s="6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NAV</vt:lpstr>
      <vt:lpstr>BM</vt:lpstr>
      <vt:lpstr>I</vt:lpstr>
      <vt:lpstr>QTR</vt:lpstr>
      <vt:lpstr>HY</vt:lpstr>
      <vt:lpstr>FY</vt:lpstr>
      <vt:lpstr>II</vt:lpstr>
      <vt:lpstr>QTR FT</vt:lpstr>
      <vt:lpstr>HY FT</vt:lpstr>
      <vt:lpstr>FY FT</vt:lpstr>
      <vt:lpstr>Revision Tables</vt:lpstr>
      <vt:lpstr>III</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2026-08-27T12:52:46Z</cp:lastPrinted>
  <dcterms:created xsi:type="dcterms:W3CDTF">2025-10-24T03:32:20Z</dcterms:created>
  <dcterms:modified xsi:type="dcterms:W3CDTF">2026-10-12T22:57:05Z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2025-10-24T03:32:27Z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58e5da50-e010-483e-827f-99fb1d8a5f56</vt:lpwstr>
  </property>
  <property fmtid="{D5CDD505-2E9C-101B-9397-08002B2CF9AE}" pid="8" name="MSIP_Label_faad4959-a4d7-4a60-89ba-8fd96e834276_ContentBits">
    <vt:lpwstr>0</vt:lpwstr>
  </property>
  <property fmtid="{D5CDD505-2E9C-101B-9397-08002B2CF9AE}" pid="9" name="MSIP_Label_faad4959-a4d7-4a60-89ba-8fd96e834276_Tag">
    <vt:lpwstr>10, 3, 0, 1</vt:lpwstr>
  </property>
  <property fmtid="{D5CDD505-2E9C-101B-9397-08002B2CF9AE}" pid="10" name="Id">
    <vt:lpwstr>857ffb83-f4a2-441b-a3ef-69f36d1257d2</vt:lpwstr>
  </property>
</Properties>
</file>